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drawings/drawing4.xml" ContentType="application/vnd.openxmlformats-officedocument.drawing+xml"/>
  <Override PartName="/xl/tables/table3.xml" ContentType="application/vnd.openxmlformats-officedocument.spreadsheetml.table+xml"/>
  <Override PartName="/xl/charts/chart3.xml" ContentType="application/vnd.openxmlformats-officedocument.drawingml.chart+xml"/>
  <Override PartName="/xl/charts/chart4.xml" ContentType="application/vnd.openxmlformats-officedocument.drawingml.chart+xml"/>
  <Override PartName="/xl/drawings/drawing5.xml" ContentType="application/vnd.openxmlformats-officedocument.drawing+xml"/>
  <Override PartName="/xl/tables/table4.xml" ContentType="application/vnd.openxmlformats-officedocument.spreadsheetml.table+xml"/>
  <Override PartName="/xl/charts/chart5.xml" ContentType="application/vnd.openxmlformats-officedocument.drawingml.chart+xml"/>
  <Override PartName="/xl/charts/chart6.xml" ContentType="application/vnd.openxmlformats-officedocument.drawingml.chart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harts/chart7.xml" ContentType="application/vnd.openxmlformats-officedocument.drawingml.chart+xml"/>
  <Override PartName="/xl/drawings/drawing9.xml" ContentType="application/vnd.openxmlformats-officedocument.drawing+xml"/>
  <Override PartName="/xl/charts/chart8.xml" ContentType="application/vnd.openxmlformats-officedocument.drawingml.chart+xml"/>
  <Override PartName="/xl/drawings/drawing10.xml" ContentType="application/vnd.openxmlformats-officedocument.drawing+xml"/>
  <Override PartName="/xl/tables/table5.xml" ContentType="application/vnd.openxmlformats-officedocument.spreadsheetml.table+xml"/>
  <Override PartName="/xl/charts/chart9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charts/colors1.xml" ContentType="application/vnd.ms-office.chartcolorstyle+xml"/>
  <Override PartName="/xl/charts/style1.xml" ContentType="application/vnd.ms-office.chartstyle+xml"/>
  <Override PartName="/xl/charts/colors2.xml" ContentType="application/vnd.ms-office.chartcolorstyle+xml"/>
  <Override PartName="/xl/charts/style2.xml" ContentType="application/vnd.ms-office.chartstyle+xml"/>
  <Override PartName="/xl/charts/colors3.xml" ContentType="application/vnd.ms-office.chartcolorstyle+xml"/>
  <Override PartName="/xl/charts/style3.xml" ContentType="application/vnd.ms-office.chartstyle+xml"/>
  <Override PartName="/xl/charts/colors4.xml" ContentType="application/vnd.ms-office.chartcolorstyle+xml"/>
  <Override PartName="/xl/charts/style4.xml" ContentType="application/vnd.ms-office.chartstyle+xml"/>
  <Override PartName="/xl/charts/colors5.xml" ContentType="application/vnd.ms-office.chartcolorstyle+xml"/>
  <Override PartName="/xl/charts/style5.xml" ContentType="application/vnd.ms-office.chartstyle+xml"/>
  <Override PartName="/xl/charts/colors6.xml" ContentType="application/vnd.ms-office.chartcolorstyle+xml"/>
  <Override PartName="/xl/charts/style6.xml" ContentType="application/vnd.ms-office.chartstyle+xml"/>
  <Override PartName="/xl/charts/colors7.xml" ContentType="application/vnd.ms-office.chartcolorstyle+xml"/>
  <Override PartName="/xl/charts/style7.xml" ContentType="application/vnd.ms-office.chartstyl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3"/>
  <workbookPr codeName="ThisWorkbook"/>
  <bookViews>
    <workbookView xWindow="0" yWindow="60" windowWidth="15555" windowHeight="7605" activeTab="1"/>
  </bookViews>
  <sheets>
    <sheet name="Structures_Material" sheetId="2" r:id="rId1"/>
    <sheet name="External layout" sheetId="12" r:id="rId2"/>
    <sheet name="Airfoil_SD7062" sheetId="8" r:id="rId3"/>
    <sheet name="Wing" sheetId="10" r:id="rId4"/>
    <sheet name="Internal Layout" sheetId="14" r:id="rId5"/>
    <sheet name="Vertical" sheetId="16" r:id="rId6"/>
    <sheet name="Horizontal" sheetId="13" r:id="rId7"/>
    <sheet name="Mid_Fuselage" sheetId="11" r:id="rId8"/>
    <sheet name="CATIA" sheetId="7" r:id="rId9"/>
    <sheet name="9x9e" sheetId="1" r:id="rId10"/>
    <sheet name="7x5e" sheetId="5" r:id="rId11"/>
    <sheet name="Scorpion S11-2215-900" sheetId="3" r:id="rId12"/>
    <sheet name="Drag" sheetId="6" r:id="rId13"/>
  </sheets>
  <definedNames>
    <definedName name="sd7062_" localSheetId="2">Airfoil_SD7062!$A$2:$C$64</definedName>
  </definedNames>
  <calcPr calcId="14562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C8" i="8" l="1"/>
  <c r="AC9" i="8"/>
  <c r="AC10" i="8"/>
  <c r="AC11" i="8"/>
  <c r="AC12" i="8"/>
  <c r="AC13" i="8"/>
  <c r="AC14" i="8"/>
  <c r="AC15" i="8"/>
  <c r="AC16" i="8"/>
  <c r="AC17" i="8"/>
  <c r="AC18" i="8"/>
  <c r="AC19" i="8"/>
  <c r="AC20" i="8"/>
  <c r="AC21" i="8"/>
  <c r="AC22" i="8"/>
  <c r="AC23" i="8"/>
  <c r="AC24" i="8"/>
  <c r="AC25" i="8"/>
  <c r="AC26" i="8"/>
  <c r="AC27" i="8"/>
  <c r="AC28" i="8"/>
  <c r="AC29" i="8"/>
  <c r="AC30" i="8"/>
  <c r="AC31" i="8"/>
  <c r="AC32" i="8"/>
  <c r="AC33" i="8"/>
  <c r="AC34" i="8"/>
  <c r="AC35" i="8"/>
  <c r="AC36" i="8"/>
  <c r="AC37" i="8"/>
  <c r="AC38" i="8"/>
  <c r="AC39" i="8"/>
  <c r="AC7" i="8"/>
  <c r="F45" i="16"/>
  <c r="F44" i="16"/>
  <c r="AJ3" i="16"/>
  <c r="B12" i="16"/>
  <c r="AJ24" i="16"/>
  <c r="AJ29" i="16"/>
  <c r="A2" i="16"/>
  <c r="B2" i="16"/>
  <c r="A3" i="16"/>
  <c r="B3" i="16"/>
  <c r="A4" i="16"/>
  <c r="B4" i="16"/>
  <c r="A5" i="16"/>
  <c r="B5" i="16"/>
  <c r="A6" i="16"/>
  <c r="B6" i="16"/>
  <c r="A7" i="16"/>
  <c r="B7" i="16"/>
  <c r="A8" i="16"/>
  <c r="B8" i="16"/>
  <c r="A9" i="16"/>
  <c r="B9" i="16"/>
  <c r="B1" i="16"/>
  <c r="A1" i="16"/>
  <c r="V375" i="16"/>
  <c r="AG375" i="16" s="1"/>
  <c r="U375" i="16"/>
  <c r="AF375" i="16" s="1"/>
  <c r="M47" i="16" s="1"/>
  <c r="T375" i="16"/>
  <c r="AE375" i="16" s="1"/>
  <c r="L47" i="16" s="1"/>
  <c r="S375" i="16"/>
  <c r="AD375" i="16" s="1"/>
  <c r="R375" i="16"/>
  <c r="AC375" i="16" s="1"/>
  <c r="C374" i="16"/>
  <c r="N333" i="16"/>
  <c r="E324" i="16"/>
  <c r="D315" i="16"/>
  <c r="I301" i="16"/>
  <c r="E301" i="16"/>
  <c r="D301" i="16"/>
  <c r="E300" i="16"/>
  <c r="D300" i="16"/>
  <c r="D299" i="16"/>
  <c r="E299" i="16" s="1"/>
  <c r="D298" i="16"/>
  <c r="E298" i="16" s="1"/>
  <c r="I297" i="16"/>
  <c r="E297" i="16"/>
  <c r="D297" i="16"/>
  <c r="D296" i="16"/>
  <c r="E296" i="16" s="1"/>
  <c r="I295" i="16"/>
  <c r="E295" i="16"/>
  <c r="D295" i="16"/>
  <c r="E294" i="16"/>
  <c r="D294" i="16"/>
  <c r="D293" i="16"/>
  <c r="E293" i="16" s="1"/>
  <c r="D292" i="16"/>
  <c r="E292" i="16" s="1"/>
  <c r="I291" i="16"/>
  <c r="D291" i="16"/>
  <c r="E291" i="16" s="1"/>
  <c r="E290" i="16"/>
  <c r="D290" i="16"/>
  <c r="D289" i="16"/>
  <c r="E289" i="16" s="1"/>
  <c r="D288" i="16"/>
  <c r="E288" i="16" s="1"/>
  <c r="I287" i="16"/>
  <c r="D287" i="16"/>
  <c r="E287" i="16" s="1"/>
  <c r="E286" i="16"/>
  <c r="D286" i="16"/>
  <c r="D285" i="16"/>
  <c r="E285" i="16" s="1"/>
  <c r="D284" i="16"/>
  <c r="E284" i="16" s="1"/>
  <c r="I283" i="16"/>
  <c r="D283" i="16"/>
  <c r="E283" i="16" s="1"/>
  <c r="E282" i="16"/>
  <c r="D282" i="16"/>
  <c r="D281" i="16"/>
  <c r="E281" i="16" s="1"/>
  <c r="D280" i="16"/>
  <c r="E280" i="16" s="1"/>
  <c r="I279" i="16"/>
  <c r="E279" i="16"/>
  <c r="D279" i="16"/>
  <c r="E278" i="16"/>
  <c r="D278" i="16"/>
  <c r="D277" i="16"/>
  <c r="E277" i="16" s="1"/>
  <c r="D276" i="16"/>
  <c r="E276" i="16" s="1"/>
  <c r="I275" i="16"/>
  <c r="E275" i="16"/>
  <c r="D275" i="16"/>
  <c r="E274" i="16"/>
  <c r="D274" i="16"/>
  <c r="D273" i="16"/>
  <c r="E273" i="16" s="1"/>
  <c r="D272" i="16"/>
  <c r="E272" i="16" s="1"/>
  <c r="I271" i="16"/>
  <c r="D271" i="16"/>
  <c r="E271" i="16" s="1"/>
  <c r="E270" i="16"/>
  <c r="D270" i="16"/>
  <c r="D269" i="16"/>
  <c r="E269" i="16" s="1"/>
  <c r="D268" i="16"/>
  <c r="E268" i="16" s="1"/>
  <c r="I267" i="16"/>
  <c r="D267" i="16"/>
  <c r="E267" i="16" s="1"/>
  <c r="E266" i="16"/>
  <c r="D266" i="16"/>
  <c r="D265" i="16"/>
  <c r="E265" i="16" s="1"/>
  <c r="D264" i="16"/>
  <c r="E264" i="16" s="1"/>
  <c r="I263" i="16"/>
  <c r="D263" i="16"/>
  <c r="E263" i="16" s="1"/>
  <c r="E262" i="16"/>
  <c r="D262" i="16"/>
  <c r="D261" i="16"/>
  <c r="E261" i="16" s="1"/>
  <c r="D260" i="16"/>
  <c r="E260" i="16" s="1"/>
  <c r="E259" i="16"/>
  <c r="D259" i="16"/>
  <c r="I258" i="16"/>
  <c r="D258" i="16"/>
  <c r="E258" i="16" s="1"/>
  <c r="E257" i="16"/>
  <c r="D257" i="16"/>
  <c r="D256" i="16"/>
  <c r="E256" i="16" s="1"/>
  <c r="E255" i="16"/>
  <c r="D255" i="16"/>
  <c r="D254" i="16"/>
  <c r="E254" i="16" s="1"/>
  <c r="E253" i="16"/>
  <c r="D253" i="16"/>
  <c r="D252" i="16"/>
  <c r="E252" i="16" s="1"/>
  <c r="E251" i="16"/>
  <c r="D251" i="16"/>
  <c r="I250" i="16"/>
  <c r="D250" i="16"/>
  <c r="E250" i="16" s="1"/>
  <c r="E249" i="16"/>
  <c r="D249" i="16"/>
  <c r="D248" i="16"/>
  <c r="E248" i="16" s="1"/>
  <c r="E247" i="16"/>
  <c r="D247" i="16"/>
  <c r="D246" i="16"/>
  <c r="E246" i="16" s="1"/>
  <c r="I246" i="16" s="1"/>
  <c r="M245" i="16"/>
  <c r="L245" i="16"/>
  <c r="E245" i="16"/>
  <c r="E357" i="16" s="1"/>
  <c r="D245" i="16"/>
  <c r="N244" i="16"/>
  <c r="D244" i="16"/>
  <c r="E244" i="16" s="1"/>
  <c r="A244" i="16"/>
  <c r="N243" i="16"/>
  <c r="D243" i="16"/>
  <c r="E243" i="16" s="1"/>
  <c r="A243" i="16"/>
  <c r="N242" i="16"/>
  <c r="D242" i="16"/>
  <c r="E242" i="16" s="1"/>
  <c r="A242" i="16"/>
  <c r="N241" i="16"/>
  <c r="D241" i="16"/>
  <c r="E241" i="16" s="1"/>
  <c r="A241" i="16"/>
  <c r="N240" i="16"/>
  <c r="D240" i="16"/>
  <c r="E240" i="16" s="1"/>
  <c r="A240" i="16"/>
  <c r="N239" i="16"/>
  <c r="D239" i="16"/>
  <c r="E239" i="16" s="1"/>
  <c r="A239" i="16"/>
  <c r="N238" i="16"/>
  <c r="D238" i="16"/>
  <c r="E238" i="16" s="1"/>
  <c r="A238" i="16"/>
  <c r="N237" i="16"/>
  <c r="D237" i="16"/>
  <c r="E237" i="16" s="1"/>
  <c r="A237" i="16"/>
  <c r="N236" i="16"/>
  <c r="D236" i="16"/>
  <c r="E236" i="16" s="1"/>
  <c r="A236" i="16"/>
  <c r="N235" i="16"/>
  <c r="D235" i="16"/>
  <c r="E235" i="16" s="1"/>
  <c r="A235" i="16"/>
  <c r="N234" i="16"/>
  <c r="D234" i="16"/>
  <c r="E234" i="16" s="1"/>
  <c r="A234" i="16"/>
  <c r="N233" i="16"/>
  <c r="D233" i="16"/>
  <c r="E233" i="16" s="1"/>
  <c r="E345" i="16" s="1"/>
  <c r="A233" i="16"/>
  <c r="N232" i="16"/>
  <c r="D232" i="16"/>
  <c r="E232" i="16" s="1"/>
  <c r="A232" i="16"/>
  <c r="N231" i="16"/>
  <c r="D231" i="16"/>
  <c r="E231" i="16" s="1"/>
  <c r="A231" i="16"/>
  <c r="N230" i="16"/>
  <c r="E230" i="16"/>
  <c r="D230" i="16"/>
  <c r="A230" i="16"/>
  <c r="N229" i="16"/>
  <c r="E229" i="16"/>
  <c r="D229" i="16"/>
  <c r="A229" i="16"/>
  <c r="N228" i="16"/>
  <c r="E228" i="16"/>
  <c r="D228" i="16"/>
  <c r="A228" i="16"/>
  <c r="E227" i="16"/>
  <c r="D227" i="16"/>
  <c r="D226" i="16"/>
  <c r="E226" i="16" s="1"/>
  <c r="E225" i="16"/>
  <c r="D225" i="16"/>
  <c r="D224" i="16"/>
  <c r="E224" i="16" s="1"/>
  <c r="E223" i="16"/>
  <c r="D223" i="16"/>
  <c r="D222" i="16"/>
  <c r="E222" i="16" s="1"/>
  <c r="E221" i="16"/>
  <c r="D221" i="16"/>
  <c r="D220" i="16"/>
  <c r="E220" i="16" s="1"/>
  <c r="E219" i="16"/>
  <c r="D219" i="16"/>
  <c r="D218" i="16"/>
  <c r="E218" i="16" s="1"/>
  <c r="E217" i="16"/>
  <c r="D217" i="16"/>
  <c r="I216" i="16"/>
  <c r="K216" i="16" s="1"/>
  <c r="E216" i="16"/>
  <c r="D216" i="16"/>
  <c r="M215" i="16"/>
  <c r="L215" i="16"/>
  <c r="E215" i="16"/>
  <c r="D215" i="16"/>
  <c r="D214" i="16"/>
  <c r="E214" i="16" s="1"/>
  <c r="E213" i="16"/>
  <c r="D213" i="16"/>
  <c r="D212" i="16"/>
  <c r="E212" i="16" s="1"/>
  <c r="E211" i="16"/>
  <c r="D211" i="16"/>
  <c r="D210" i="16"/>
  <c r="E210" i="16" s="1"/>
  <c r="E209" i="16"/>
  <c r="D209" i="16"/>
  <c r="M208" i="16"/>
  <c r="L208" i="16"/>
  <c r="H208" i="16"/>
  <c r="G208" i="16"/>
  <c r="F208" i="16"/>
  <c r="E208" i="16"/>
  <c r="D208" i="16"/>
  <c r="M207" i="16"/>
  <c r="L207" i="16"/>
  <c r="H207" i="16"/>
  <c r="G207" i="16"/>
  <c r="F207" i="16"/>
  <c r="E207" i="16"/>
  <c r="I207" i="16" s="1"/>
  <c r="D207" i="16"/>
  <c r="N47" i="16"/>
  <c r="K47" i="16"/>
  <c r="J47" i="16"/>
  <c r="N46" i="16"/>
  <c r="M46" i="16"/>
  <c r="L46" i="16"/>
  <c r="K46" i="16"/>
  <c r="J46" i="16"/>
  <c r="J45" i="16"/>
  <c r="B59" i="16" s="1"/>
  <c r="G9" i="16"/>
  <c r="F9" i="16"/>
  <c r="AC8" i="16"/>
  <c r="AB8" i="16"/>
  <c r="AA8" i="16"/>
  <c r="Z8" i="16"/>
  <c r="Y8" i="16"/>
  <c r="G8" i="16"/>
  <c r="F8" i="16"/>
  <c r="AC7" i="16"/>
  <c r="AB7" i="16"/>
  <c r="AA7" i="16"/>
  <c r="Z7" i="16"/>
  <c r="Y7" i="16"/>
  <c r="G7" i="16"/>
  <c r="F7" i="16"/>
  <c r="AC6" i="16"/>
  <c r="AB6" i="16"/>
  <c r="AA6" i="16"/>
  <c r="Z6" i="16"/>
  <c r="Y6" i="16"/>
  <c r="U6" i="16"/>
  <c r="G6" i="16"/>
  <c r="F6" i="16"/>
  <c r="AC5" i="16"/>
  <c r="AB5" i="16"/>
  <c r="AA5" i="16"/>
  <c r="Z5" i="16"/>
  <c r="Y5" i="16"/>
  <c r="G5" i="16"/>
  <c r="F5" i="16"/>
  <c r="AC4" i="16"/>
  <c r="AB4" i="16"/>
  <c r="AA4" i="16"/>
  <c r="Z4" i="16"/>
  <c r="Y4" i="16"/>
  <c r="G4" i="16"/>
  <c r="F4" i="16"/>
  <c r="AC3" i="16"/>
  <c r="AB3" i="16"/>
  <c r="AA3" i="16"/>
  <c r="Z3" i="16"/>
  <c r="Y3" i="16"/>
  <c r="U3" i="16"/>
  <c r="G3" i="16"/>
  <c r="F3" i="16"/>
  <c r="AC2" i="16"/>
  <c r="AB2" i="16"/>
  <c r="AA2" i="16"/>
  <c r="Z2" i="16"/>
  <c r="Y2" i="16"/>
  <c r="G2" i="16"/>
  <c r="F2" i="16"/>
  <c r="AC1" i="16"/>
  <c r="AB1" i="16"/>
  <c r="AA1" i="16"/>
  <c r="Z1" i="16"/>
  <c r="Y1" i="16"/>
  <c r="G1" i="16"/>
  <c r="F1" i="16"/>
  <c r="B366" i="13"/>
  <c r="D364" i="13"/>
  <c r="B365" i="13"/>
  <c r="O334" i="13"/>
  <c r="O335" i="13"/>
  <c r="O336" i="13"/>
  <c r="O337" i="13"/>
  <c r="O338" i="13"/>
  <c r="O339" i="13"/>
  <c r="O340" i="13"/>
  <c r="O341" i="13"/>
  <c r="O342" i="13"/>
  <c r="O343" i="13"/>
  <c r="O344" i="13"/>
  <c r="O345" i="13"/>
  <c r="O346" i="13"/>
  <c r="O347" i="13"/>
  <c r="O348" i="13"/>
  <c r="O349" i="13"/>
  <c r="O350" i="13"/>
  <c r="O351" i="13"/>
  <c r="O352" i="13"/>
  <c r="O353" i="13"/>
  <c r="O354" i="13"/>
  <c r="O333" i="13"/>
  <c r="N351" i="13"/>
  <c r="N352" i="13"/>
  <c r="N353" i="13"/>
  <c r="N354" i="13"/>
  <c r="N334" i="13"/>
  <c r="N335" i="13"/>
  <c r="N336" i="13"/>
  <c r="N337" i="13"/>
  <c r="N338" i="13"/>
  <c r="N339" i="13"/>
  <c r="N340" i="13"/>
  <c r="N341" i="13"/>
  <c r="N342" i="13"/>
  <c r="N343" i="13"/>
  <c r="N344" i="13"/>
  <c r="N345" i="13"/>
  <c r="N346" i="13"/>
  <c r="N347" i="13"/>
  <c r="N348" i="13"/>
  <c r="N349" i="13"/>
  <c r="N350" i="13"/>
  <c r="N333" i="13"/>
  <c r="R326" i="13"/>
  <c r="R325" i="13"/>
  <c r="R324" i="13"/>
  <c r="N318" i="13"/>
  <c r="M318" i="13"/>
  <c r="K361" i="13"/>
  <c r="L340" i="13"/>
  <c r="L341" i="13"/>
  <c r="L342" i="13"/>
  <c r="L343" i="13"/>
  <c r="L344" i="13"/>
  <c r="L345" i="13"/>
  <c r="L346" i="13"/>
  <c r="L347" i="13"/>
  <c r="L348" i="13"/>
  <c r="L349" i="13"/>
  <c r="L350" i="13"/>
  <c r="L351" i="13"/>
  <c r="L352" i="13"/>
  <c r="L353" i="13"/>
  <c r="L354" i="13"/>
  <c r="L355" i="13"/>
  <c r="L356" i="13"/>
  <c r="L357" i="13"/>
  <c r="L358" i="13"/>
  <c r="L359" i="13"/>
  <c r="L360" i="13"/>
  <c r="L361" i="13"/>
  <c r="L339" i="13"/>
  <c r="F340" i="13"/>
  <c r="G340" i="13"/>
  <c r="H340" i="13"/>
  <c r="I340" i="13"/>
  <c r="K340" i="13"/>
  <c r="F341" i="13"/>
  <c r="G341" i="13"/>
  <c r="H341" i="13"/>
  <c r="I341" i="13"/>
  <c r="K341" i="13"/>
  <c r="F342" i="13"/>
  <c r="G342" i="13"/>
  <c r="H342" i="13"/>
  <c r="I342" i="13"/>
  <c r="K342" i="13"/>
  <c r="F343" i="13"/>
  <c r="G343" i="13"/>
  <c r="H343" i="13"/>
  <c r="I343" i="13"/>
  <c r="K343" i="13"/>
  <c r="F344" i="13"/>
  <c r="G344" i="13"/>
  <c r="H344" i="13"/>
  <c r="I344" i="13"/>
  <c r="K344" i="13"/>
  <c r="F345" i="13"/>
  <c r="G345" i="13"/>
  <c r="H345" i="13"/>
  <c r="I345" i="13"/>
  <c r="K345" i="13"/>
  <c r="F346" i="13"/>
  <c r="G346" i="13"/>
  <c r="H346" i="13"/>
  <c r="I346" i="13"/>
  <c r="K346" i="13"/>
  <c r="F347" i="13"/>
  <c r="G347" i="13"/>
  <c r="H347" i="13"/>
  <c r="I347" i="13"/>
  <c r="K347" i="13"/>
  <c r="F348" i="13"/>
  <c r="G348" i="13"/>
  <c r="H348" i="13"/>
  <c r="I348" i="13"/>
  <c r="K348" i="13"/>
  <c r="F349" i="13"/>
  <c r="G349" i="13"/>
  <c r="H349" i="13"/>
  <c r="I349" i="13"/>
  <c r="K349" i="13"/>
  <c r="F350" i="13"/>
  <c r="G350" i="13"/>
  <c r="H350" i="13"/>
  <c r="I350" i="13"/>
  <c r="K350" i="13"/>
  <c r="F351" i="13"/>
  <c r="G351" i="13"/>
  <c r="H351" i="13"/>
  <c r="I351" i="13"/>
  <c r="K351" i="13"/>
  <c r="F352" i="13"/>
  <c r="G352" i="13"/>
  <c r="H352" i="13"/>
  <c r="I352" i="13"/>
  <c r="K352" i="13"/>
  <c r="F353" i="13"/>
  <c r="G353" i="13"/>
  <c r="H353" i="13"/>
  <c r="I353" i="13"/>
  <c r="K353" i="13"/>
  <c r="F354" i="13"/>
  <c r="G354" i="13"/>
  <c r="H354" i="13"/>
  <c r="I354" i="13"/>
  <c r="K354" i="13"/>
  <c r="F355" i="13"/>
  <c r="G355" i="13"/>
  <c r="H355" i="13"/>
  <c r="I355" i="13"/>
  <c r="K355" i="13"/>
  <c r="F356" i="13"/>
  <c r="G356" i="13"/>
  <c r="H356" i="13"/>
  <c r="I356" i="13"/>
  <c r="K356" i="13"/>
  <c r="F357" i="13"/>
  <c r="G357" i="13"/>
  <c r="H357" i="13"/>
  <c r="I357" i="13"/>
  <c r="K357" i="13"/>
  <c r="F358" i="13"/>
  <c r="G358" i="13"/>
  <c r="H358" i="13"/>
  <c r="I358" i="13"/>
  <c r="K358" i="13"/>
  <c r="F359" i="13"/>
  <c r="G359" i="13"/>
  <c r="H359" i="13"/>
  <c r="I359" i="13"/>
  <c r="K359" i="13"/>
  <c r="F360" i="13"/>
  <c r="G360" i="13"/>
  <c r="H360" i="13"/>
  <c r="I360" i="13"/>
  <c r="K360" i="13"/>
  <c r="F361" i="13"/>
  <c r="G361" i="13"/>
  <c r="H361" i="13"/>
  <c r="I361" i="13"/>
  <c r="D341" i="13"/>
  <c r="D342" i="13"/>
  <c r="D343" i="13"/>
  <c r="D344" i="13"/>
  <c r="D345" i="13"/>
  <c r="D346" i="13"/>
  <c r="D347" i="13"/>
  <c r="D348" i="13"/>
  <c r="D349" i="13"/>
  <c r="D350" i="13"/>
  <c r="D351" i="13"/>
  <c r="D352" i="13"/>
  <c r="D353" i="13"/>
  <c r="D354" i="13"/>
  <c r="D355" i="13"/>
  <c r="D356" i="13"/>
  <c r="D357" i="13"/>
  <c r="D358" i="13"/>
  <c r="D359" i="13"/>
  <c r="D360" i="13"/>
  <c r="D361" i="13"/>
  <c r="D340" i="13"/>
  <c r="C354" i="13"/>
  <c r="C355" i="13"/>
  <c r="C356" i="13"/>
  <c r="C357" i="13"/>
  <c r="C358" i="13"/>
  <c r="C359" i="13"/>
  <c r="C360" i="13"/>
  <c r="C361" i="13"/>
  <c r="C341" i="13"/>
  <c r="C342" i="13"/>
  <c r="C343" i="13"/>
  <c r="C344" i="13"/>
  <c r="C345" i="13"/>
  <c r="C346" i="13"/>
  <c r="C347" i="13"/>
  <c r="C348" i="13"/>
  <c r="C349" i="13"/>
  <c r="C350" i="13"/>
  <c r="C351" i="13"/>
  <c r="C352" i="13"/>
  <c r="C353" i="13"/>
  <c r="C340" i="13"/>
  <c r="E341" i="13"/>
  <c r="E342" i="13"/>
  <c r="E343" i="13"/>
  <c r="E344" i="13"/>
  <c r="E345" i="13"/>
  <c r="E346" i="13"/>
  <c r="E347" i="13"/>
  <c r="E348" i="13"/>
  <c r="E349" i="13"/>
  <c r="E350" i="13"/>
  <c r="E351" i="13"/>
  <c r="E352" i="13"/>
  <c r="E353" i="13"/>
  <c r="E354" i="13"/>
  <c r="E355" i="13"/>
  <c r="E356" i="13"/>
  <c r="E357" i="13"/>
  <c r="E358" i="13"/>
  <c r="E359" i="13"/>
  <c r="E360" i="13"/>
  <c r="E361" i="13"/>
  <c r="E340" i="13"/>
  <c r="B342" i="13"/>
  <c r="B343" i="13" s="1"/>
  <c r="B344" i="13" s="1"/>
  <c r="B345" i="13" s="1"/>
  <c r="B346" i="13" s="1"/>
  <c r="B347" i="13" s="1"/>
  <c r="B348" i="13" s="1"/>
  <c r="B349" i="13" s="1"/>
  <c r="B350" i="13" s="1"/>
  <c r="B351" i="13" s="1"/>
  <c r="B352" i="13" s="1"/>
  <c r="B353" i="13" s="1"/>
  <c r="B354" i="13" s="1"/>
  <c r="B355" i="13" s="1"/>
  <c r="B356" i="13" s="1"/>
  <c r="B357" i="13" s="1"/>
  <c r="B358" i="13" s="1"/>
  <c r="B359" i="13" s="1"/>
  <c r="B360" i="13" s="1"/>
  <c r="B361" i="13" s="1"/>
  <c r="B341" i="13"/>
  <c r="C339" i="13"/>
  <c r="E14" i="13"/>
  <c r="B14" i="13"/>
  <c r="B12" i="13"/>
  <c r="B11" i="13"/>
  <c r="D315" i="13"/>
  <c r="B59" i="13"/>
  <c r="T375" i="13"/>
  <c r="AE375" i="13" s="1"/>
  <c r="L46" i="13"/>
  <c r="M46" i="13"/>
  <c r="N46" i="13"/>
  <c r="K46" i="13"/>
  <c r="J46" i="13"/>
  <c r="J45" i="13"/>
  <c r="U375" i="13"/>
  <c r="AF375" i="13" s="1"/>
  <c r="M47" i="13" s="1"/>
  <c r="S375" i="13"/>
  <c r="AD375" i="13" s="1"/>
  <c r="K47" i="13" s="1"/>
  <c r="R375" i="13"/>
  <c r="AC375" i="13" s="1"/>
  <c r="J47" i="13" s="1"/>
  <c r="V375" i="13"/>
  <c r="AG375" i="13" s="1"/>
  <c r="N47" i="13" s="1"/>
  <c r="N229" i="13"/>
  <c r="N230" i="13"/>
  <c r="N231" i="13"/>
  <c r="N232" i="13"/>
  <c r="N233" i="13"/>
  <c r="N234" i="13"/>
  <c r="N235" i="13"/>
  <c r="N236" i="13"/>
  <c r="N237" i="13"/>
  <c r="N238" i="13"/>
  <c r="N239" i="13"/>
  <c r="N240" i="13"/>
  <c r="N241" i="13"/>
  <c r="N242" i="13"/>
  <c r="N243" i="13"/>
  <c r="N244" i="13"/>
  <c r="N228" i="13"/>
  <c r="A243" i="13"/>
  <c r="A244" i="13"/>
  <c r="A240" i="13"/>
  <c r="A241" i="13"/>
  <c r="A242" i="13"/>
  <c r="A235" i="13"/>
  <c r="A236" i="13"/>
  <c r="A237" i="13"/>
  <c r="A238" i="13"/>
  <c r="A239" i="13"/>
  <c r="A229" i="13"/>
  <c r="A230" i="13"/>
  <c r="A231" i="13"/>
  <c r="A232" i="13"/>
  <c r="A233" i="13"/>
  <c r="A234" i="13"/>
  <c r="A228" i="13"/>
  <c r="D301" i="13"/>
  <c r="E301" i="13" s="1"/>
  <c r="D300" i="13"/>
  <c r="E300" i="13" s="1"/>
  <c r="D299" i="13"/>
  <c r="E299" i="13" s="1"/>
  <c r="D298" i="13"/>
  <c r="E298" i="13" s="1"/>
  <c r="D297" i="13"/>
  <c r="E297" i="13" s="1"/>
  <c r="D296" i="13"/>
  <c r="E296" i="13" s="1"/>
  <c r="D295" i="13"/>
  <c r="E295" i="13" s="1"/>
  <c r="D294" i="13"/>
  <c r="E294" i="13" s="1"/>
  <c r="D293" i="13"/>
  <c r="E293" i="13" s="1"/>
  <c r="E292" i="13"/>
  <c r="D292" i="13"/>
  <c r="D291" i="13"/>
  <c r="E291" i="13" s="1"/>
  <c r="D290" i="13"/>
  <c r="E290" i="13" s="1"/>
  <c r="D289" i="13"/>
  <c r="E289" i="13" s="1"/>
  <c r="E288" i="13"/>
  <c r="D288" i="13"/>
  <c r="D287" i="13"/>
  <c r="E287" i="13" s="1"/>
  <c r="E286" i="13"/>
  <c r="D286" i="13"/>
  <c r="D285" i="13"/>
  <c r="E285" i="13" s="1"/>
  <c r="D284" i="13"/>
  <c r="E284" i="13" s="1"/>
  <c r="D283" i="13"/>
  <c r="E283" i="13" s="1"/>
  <c r="D282" i="13"/>
  <c r="E282" i="13" s="1"/>
  <c r="D281" i="13"/>
  <c r="E281" i="13" s="1"/>
  <c r="I281" i="13" s="1"/>
  <c r="E280" i="13"/>
  <c r="D280" i="13"/>
  <c r="D279" i="13"/>
  <c r="E279" i="13" s="1"/>
  <c r="E278" i="13"/>
  <c r="D278" i="13"/>
  <c r="E277" i="13"/>
  <c r="D277" i="13"/>
  <c r="D276" i="13"/>
  <c r="E276" i="13" s="1"/>
  <c r="D275" i="13"/>
  <c r="E275" i="13" s="1"/>
  <c r="D274" i="13"/>
  <c r="E274" i="13" s="1"/>
  <c r="E273" i="13"/>
  <c r="D273" i="13"/>
  <c r="D272" i="13"/>
  <c r="E272" i="13" s="1"/>
  <c r="E271" i="13"/>
  <c r="D271" i="13"/>
  <c r="D270" i="13"/>
  <c r="E270" i="13" s="1"/>
  <c r="D269" i="13"/>
  <c r="E269" i="13" s="1"/>
  <c r="D268" i="13"/>
  <c r="E268" i="13" s="1"/>
  <c r="D267" i="13"/>
  <c r="E267" i="13" s="1"/>
  <c r="D266" i="13"/>
  <c r="E266" i="13" s="1"/>
  <c r="D265" i="13"/>
  <c r="E265" i="13" s="1"/>
  <c r="D264" i="13"/>
  <c r="E264" i="13" s="1"/>
  <c r="D263" i="13"/>
  <c r="E263" i="13" s="1"/>
  <c r="D262" i="13"/>
  <c r="E262" i="13" s="1"/>
  <c r="D261" i="13"/>
  <c r="E261" i="13" s="1"/>
  <c r="D260" i="13"/>
  <c r="E260" i="13" s="1"/>
  <c r="I260" i="13" s="1"/>
  <c r="D259" i="13"/>
  <c r="E259" i="13" s="1"/>
  <c r="E258" i="13"/>
  <c r="D258" i="13"/>
  <c r="D257" i="13"/>
  <c r="E257" i="13" s="1"/>
  <c r="I257" i="13" s="1"/>
  <c r="D256" i="13"/>
  <c r="E256" i="13" s="1"/>
  <c r="D255" i="13"/>
  <c r="E255" i="13" s="1"/>
  <c r="E254" i="13"/>
  <c r="D254" i="13"/>
  <c r="D253" i="13"/>
  <c r="E253" i="13" s="1"/>
  <c r="I253" i="13" s="1"/>
  <c r="D252" i="13"/>
  <c r="E252" i="13" s="1"/>
  <c r="D251" i="13"/>
  <c r="E251" i="13" s="1"/>
  <c r="D250" i="13"/>
  <c r="E250" i="13" s="1"/>
  <c r="D249" i="13"/>
  <c r="E249" i="13" s="1"/>
  <c r="D248" i="13"/>
  <c r="E248" i="13" s="1"/>
  <c r="D247" i="13"/>
  <c r="E247" i="13" s="1"/>
  <c r="D246" i="13"/>
  <c r="E246" i="13" s="1"/>
  <c r="M245" i="13"/>
  <c r="L245" i="13"/>
  <c r="D245" i="13"/>
  <c r="E245" i="13" s="1"/>
  <c r="D244" i="13"/>
  <c r="E244" i="13" s="1"/>
  <c r="E334" i="13" s="1"/>
  <c r="D243" i="13"/>
  <c r="E243" i="13" s="1"/>
  <c r="E333" i="13" s="1"/>
  <c r="E242" i="13"/>
  <c r="E332" i="13" s="1"/>
  <c r="D242" i="13"/>
  <c r="D241" i="13"/>
  <c r="E241" i="13" s="1"/>
  <c r="E331" i="13" s="1"/>
  <c r="D240" i="13"/>
  <c r="E240" i="13" s="1"/>
  <c r="E330" i="13" s="1"/>
  <c r="D239" i="13"/>
  <c r="E239" i="13" s="1"/>
  <c r="E329" i="13" s="1"/>
  <c r="E238" i="13"/>
  <c r="E328" i="13" s="1"/>
  <c r="D238" i="13"/>
  <c r="D237" i="13"/>
  <c r="E237" i="13" s="1"/>
  <c r="E327" i="13" s="1"/>
  <c r="E236" i="13"/>
  <c r="E326" i="13" s="1"/>
  <c r="D236" i="13"/>
  <c r="D235" i="13"/>
  <c r="E235" i="13" s="1"/>
  <c r="E325" i="13" s="1"/>
  <c r="D234" i="13"/>
  <c r="E234" i="13" s="1"/>
  <c r="E324" i="13" s="1"/>
  <c r="E233" i="13"/>
  <c r="E323" i="13" s="1"/>
  <c r="D233" i="13"/>
  <c r="D232" i="13"/>
  <c r="E232" i="13" s="1"/>
  <c r="E231" i="13"/>
  <c r="D231" i="13"/>
  <c r="D230" i="13"/>
  <c r="E230" i="13" s="1"/>
  <c r="E229" i="13"/>
  <c r="D229" i="13"/>
  <c r="D228" i="13"/>
  <c r="E228" i="13" s="1"/>
  <c r="E318" i="13" s="1"/>
  <c r="E227" i="13"/>
  <c r="D227" i="13"/>
  <c r="E226" i="13"/>
  <c r="D226" i="13"/>
  <c r="D225" i="13"/>
  <c r="E225" i="13" s="1"/>
  <c r="D224" i="13"/>
  <c r="E224" i="13" s="1"/>
  <c r="E223" i="13"/>
  <c r="D223" i="13"/>
  <c r="E222" i="13"/>
  <c r="D222" i="13"/>
  <c r="D221" i="13"/>
  <c r="E221" i="13" s="1"/>
  <c r="D220" i="13"/>
  <c r="E220" i="13" s="1"/>
  <c r="E219" i="13"/>
  <c r="D219" i="13"/>
  <c r="E218" i="13"/>
  <c r="D218" i="13"/>
  <c r="D217" i="13"/>
  <c r="E217" i="13" s="1"/>
  <c r="D216" i="13"/>
  <c r="E216" i="13" s="1"/>
  <c r="M215" i="13"/>
  <c r="L215" i="13"/>
  <c r="D215" i="13"/>
  <c r="E215" i="13" s="1"/>
  <c r="E214" i="13"/>
  <c r="D214" i="13"/>
  <c r="D213" i="13"/>
  <c r="E213" i="13" s="1"/>
  <c r="D212" i="13"/>
  <c r="E212" i="13" s="1"/>
  <c r="D211" i="13"/>
  <c r="E211" i="13" s="1"/>
  <c r="E210" i="13"/>
  <c r="D210" i="13"/>
  <c r="I209" i="13"/>
  <c r="D209" i="13"/>
  <c r="E209" i="13" s="1"/>
  <c r="M208" i="13"/>
  <c r="L208" i="13"/>
  <c r="H208" i="13"/>
  <c r="G208" i="13"/>
  <c r="F208" i="13"/>
  <c r="D208" i="13"/>
  <c r="M207" i="13"/>
  <c r="L207" i="13"/>
  <c r="H207" i="13"/>
  <c r="G207" i="13"/>
  <c r="F207" i="13"/>
  <c r="D207" i="13"/>
  <c r="Y2" i="13"/>
  <c r="Z2" i="13"/>
  <c r="C560" i="13" s="1"/>
  <c r="AA2" i="13"/>
  <c r="AB2" i="13"/>
  <c r="AC2" i="13"/>
  <c r="Y3" i="13"/>
  <c r="Z3" i="13"/>
  <c r="AA3" i="13"/>
  <c r="AB3" i="13"/>
  <c r="AC3" i="13"/>
  <c r="Y4" i="13"/>
  <c r="Z4" i="13"/>
  <c r="AA4" i="13"/>
  <c r="AB4" i="13"/>
  <c r="AC4" i="13"/>
  <c r="Y5" i="13"/>
  <c r="Z5" i="13"/>
  <c r="AA5" i="13"/>
  <c r="AB5" i="13"/>
  <c r="AC5" i="13"/>
  <c r="Y6" i="13"/>
  <c r="Z6" i="13"/>
  <c r="AA6" i="13"/>
  <c r="AB6" i="13"/>
  <c r="AC6" i="13"/>
  <c r="Y7" i="13"/>
  <c r="Z7" i="13"/>
  <c r="AA7" i="13"/>
  <c r="AB7" i="13"/>
  <c r="AC7" i="13"/>
  <c r="Y8" i="13"/>
  <c r="Z8" i="13"/>
  <c r="AA8" i="13"/>
  <c r="AB8" i="13"/>
  <c r="D413" i="13" s="1"/>
  <c r="AC8" i="13"/>
  <c r="Z1" i="13"/>
  <c r="AA1" i="13"/>
  <c r="AB1" i="13"/>
  <c r="AC1" i="13"/>
  <c r="Y1" i="13"/>
  <c r="F6" i="13"/>
  <c r="G6" i="13"/>
  <c r="F7" i="13"/>
  <c r="G7" i="13"/>
  <c r="F8" i="13"/>
  <c r="G8" i="13"/>
  <c r="F9" i="13"/>
  <c r="G9" i="13"/>
  <c r="G1" i="13"/>
  <c r="G2" i="13"/>
  <c r="G3" i="13"/>
  <c r="G4" i="13"/>
  <c r="G5" i="13"/>
  <c r="F2" i="13"/>
  <c r="F3" i="13"/>
  <c r="F4" i="13"/>
  <c r="F5" i="13"/>
  <c r="F1" i="13"/>
  <c r="B1" i="13"/>
  <c r="B2" i="13"/>
  <c r="B3" i="13"/>
  <c r="B4" i="13"/>
  <c r="B5" i="13"/>
  <c r="B6" i="13"/>
  <c r="B7" i="13"/>
  <c r="B8" i="13"/>
  <c r="B9" i="13"/>
  <c r="A2" i="13"/>
  <c r="A3" i="13"/>
  <c r="A4" i="13"/>
  <c r="A5" i="13"/>
  <c r="A6" i="13"/>
  <c r="A7" i="13"/>
  <c r="A8" i="13"/>
  <c r="A9" i="13"/>
  <c r="A1" i="13"/>
  <c r="T340" i="10"/>
  <c r="AB221" i="10"/>
  <c r="AC221" i="10"/>
  <c r="B111" i="10"/>
  <c r="B110" i="10"/>
  <c r="G68" i="10"/>
  <c r="H68" i="10"/>
  <c r="G69" i="10"/>
  <c r="H69" i="10"/>
  <c r="G70" i="10"/>
  <c r="H70" i="10"/>
  <c r="G71" i="10"/>
  <c r="H71" i="10"/>
  <c r="G72" i="10"/>
  <c r="H72" i="10"/>
  <c r="G73" i="10"/>
  <c r="H73" i="10"/>
  <c r="G74" i="10"/>
  <c r="H74" i="10"/>
  <c r="G75" i="10"/>
  <c r="H75" i="10"/>
  <c r="G76" i="10"/>
  <c r="H76" i="10"/>
  <c r="G77" i="10"/>
  <c r="H77" i="10"/>
  <c r="G78" i="10"/>
  <c r="H78" i="10"/>
  <c r="G79" i="10"/>
  <c r="H79" i="10"/>
  <c r="G37" i="10"/>
  <c r="H37" i="10"/>
  <c r="G38" i="10"/>
  <c r="H38" i="10"/>
  <c r="G39" i="10"/>
  <c r="H39" i="10"/>
  <c r="G40" i="10"/>
  <c r="H40" i="10"/>
  <c r="G41" i="10"/>
  <c r="H41" i="10"/>
  <c r="G42" i="10"/>
  <c r="H42" i="10"/>
  <c r="G43" i="10"/>
  <c r="H43" i="10"/>
  <c r="G44" i="10"/>
  <c r="H44" i="10"/>
  <c r="G45" i="10"/>
  <c r="H45" i="10"/>
  <c r="G46" i="10"/>
  <c r="H46" i="10"/>
  <c r="G47" i="10"/>
  <c r="H47" i="10"/>
  <c r="G48" i="10"/>
  <c r="H48" i="10"/>
  <c r="G49" i="10"/>
  <c r="H49" i="10"/>
  <c r="G50" i="10"/>
  <c r="H50" i="10"/>
  <c r="G51" i="10"/>
  <c r="H51" i="10"/>
  <c r="G52" i="10"/>
  <c r="H52" i="10"/>
  <c r="G53" i="10"/>
  <c r="H53" i="10"/>
  <c r="G54" i="10"/>
  <c r="H54" i="10"/>
  <c r="G55" i="10"/>
  <c r="H55" i="10"/>
  <c r="G56" i="10"/>
  <c r="H56" i="10"/>
  <c r="G57" i="10"/>
  <c r="H57" i="10"/>
  <c r="G58" i="10"/>
  <c r="H58" i="10"/>
  <c r="G59" i="10"/>
  <c r="H59" i="10"/>
  <c r="G60" i="10"/>
  <c r="H60" i="10"/>
  <c r="G61" i="10"/>
  <c r="H61" i="10"/>
  <c r="G62" i="10"/>
  <c r="H62" i="10"/>
  <c r="G63" i="10"/>
  <c r="H63" i="10"/>
  <c r="G64" i="10"/>
  <c r="H64" i="10"/>
  <c r="G65" i="10"/>
  <c r="H65" i="10"/>
  <c r="G66" i="10"/>
  <c r="H66" i="10"/>
  <c r="G67" i="10"/>
  <c r="H67" i="10"/>
  <c r="G4" i="10"/>
  <c r="H4" i="10"/>
  <c r="G5" i="10"/>
  <c r="H5" i="10"/>
  <c r="G6" i="10"/>
  <c r="H6" i="10"/>
  <c r="G7" i="10"/>
  <c r="H7" i="10"/>
  <c r="G8" i="10"/>
  <c r="H8" i="10"/>
  <c r="G9" i="10"/>
  <c r="H9" i="10"/>
  <c r="G10" i="10"/>
  <c r="H10" i="10"/>
  <c r="G11" i="10"/>
  <c r="H11" i="10"/>
  <c r="G12" i="10"/>
  <c r="H12" i="10"/>
  <c r="G13" i="10"/>
  <c r="H13" i="10"/>
  <c r="G14" i="10"/>
  <c r="H14" i="10"/>
  <c r="G15" i="10"/>
  <c r="H15" i="10"/>
  <c r="G16" i="10"/>
  <c r="H16" i="10"/>
  <c r="G17" i="10"/>
  <c r="H17" i="10"/>
  <c r="G18" i="10"/>
  <c r="H18" i="10"/>
  <c r="G19" i="10"/>
  <c r="H19" i="10"/>
  <c r="G20" i="10"/>
  <c r="H20" i="10"/>
  <c r="G21" i="10"/>
  <c r="H21" i="10"/>
  <c r="G22" i="10"/>
  <c r="H22" i="10"/>
  <c r="G23" i="10"/>
  <c r="H23" i="10"/>
  <c r="G24" i="10"/>
  <c r="H24" i="10"/>
  <c r="G25" i="10"/>
  <c r="H25" i="10"/>
  <c r="G26" i="10"/>
  <c r="H26" i="10"/>
  <c r="G27" i="10"/>
  <c r="H27" i="10"/>
  <c r="G28" i="10"/>
  <c r="H28" i="10"/>
  <c r="G29" i="10"/>
  <c r="H29" i="10"/>
  <c r="G30" i="10"/>
  <c r="H30" i="10"/>
  <c r="G31" i="10"/>
  <c r="H31" i="10"/>
  <c r="G32" i="10"/>
  <c r="H32" i="10"/>
  <c r="G33" i="10"/>
  <c r="H33" i="10"/>
  <c r="G34" i="10"/>
  <c r="H34" i="10"/>
  <c r="G35" i="10"/>
  <c r="H35" i="10"/>
  <c r="G36" i="10"/>
  <c r="H36" i="10"/>
  <c r="H3" i="10"/>
  <c r="G3" i="10"/>
  <c r="AI220" i="11"/>
  <c r="AI219" i="11"/>
  <c r="AI218" i="11"/>
  <c r="AI217" i="11"/>
  <c r="AI216" i="11"/>
  <c r="AI215" i="11"/>
  <c r="AI214" i="11"/>
  <c r="AI213" i="11"/>
  <c r="AI212" i="11"/>
  <c r="AH220" i="11"/>
  <c r="AH219" i="11"/>
  <c r="AH218" i="11"/>
  <c r="AH217" i="11"/>
  <c r="AH216" i="11"/>
  <c r="AH215" i="11"/>
  <c r="AH214" i="11"/>
  <c r="AH213" i="11"/>
  <c r="AH212" i="11"/>
  <c r="AO220" i="11"/>
  <c r="AN220" i="11"/>
  <c r="AG220" i="11"/>
  <c r="AG219" i="11"/>
  <c r="AG218" i="11"/>
  <c r="AG217" i="11"/>
  <c r="AG216" i="11"/>
  <c r="AG215" i="11"/>
  <c r="AG213" i="11"/>
  <c r="AG214" i="11"/>
  <c r="AG212" i="11"/>
  <c r="AV212" i="11"/>
  <c r="AV213" i="11"/>
  <c r="AV214" i="11"/>
  <c r="AV215" i="11"/>
  <c r="AV216" i="11"/>
  <c r="AV217" i="11"/>
  <c r="AV218" i="11"/>
  <c r="AV219" i="11"/>
  <c r="AV211" i="11"/>
  <c r="AS212" i="11"/>
  <c r="AS213" i="11"/>
  <c r="AS214" i="11"/>
  <c r="AS215" i="11"/>
  <c r="AS216" i="11"/>
  <c r="AS217" i="11"/>
  <c r="AS218" i="11"/>
  <c r="AS219" i="11"/>
  <c r="AS211" i="11"/>
  <c r="AO212" i="11"/>
  <c r="AO213" i="11"/>
  <c r="AO214" i="11"/>
  <c r="AO215" i="11"/>
  <c r="AO216" i="11"/>
  <c r="AO217" i="11"/>
  <c r="AO218" i="11"/>
  <c r="AO219" i="11"/>
  <c r="AO211" i="11"/>
  <c r="AU213" i="11"/>
  <c r="AU214" i="11" s="1"/>
  <c r="AU215" i="11" s="1"/>
  <c r="AU216" i="11" s="1"/>
  <c r="AU217" i="11" s="1"/>
  <c r="AU218" i="11" s="1"/>
  <c r="AU219" i="11" s="1"/>
  <c r="AU212" i="11"/>
  <c r="AR213" i="11"/>
  <c r="AR214" i="11" s="1"/>
  <c r="AR215" i="11" s="1"/>
  <c r="AR216" i="11" s="1"/>
  <c r="AR217" i="11" s="1"/>
  <c r="AR218" i="11" s="1"/>
  <c r="AR219" i="11" s="1"/>
  <c r="AR212" i="11"/>
  <c r="AN213" i="11"/>
  <c r="AN214" i="11" s="1"/>
  <c r="AN215" i="11" s="1"/>
  <c r="AN216" i="11" s="1"/>
  <c r="AN217" i="11" s="1"/>
  <c r="AN218" i="11" s="1"/>
  <c r="AN219" i="11" s="1"/>
  <c r="AN212" i="11"/>
  <c r="A90" i="11"/>
  <c r="B90" i="11"/>
  <c r="A91" i="11"/>
  <c r="B91" i="11"/>
  <c r="A92" i="11"/>
  <c r="B92" i="11"/>
  <c r="A93" i="11"/>
  <c r="B93" i="11"/>
  <c r="A94" i="11"/>
  <c r="B94" i="11"/>
  <c r="A19" i="11"/>
  <c r="B19" i="11"/>
  <c r="A20" i="11"/>
  <c r="B20" i="11"/>
  <c r="A21" i="11"/>
  <c r="B21" i="11"/>
  <c r="A22" i="11"/>
  <c r="B22" i="11"/>
  <c r="A23" i="11"/>
  <c r="B23" i="11"/>
  <c r="A24" i="11"/>
  <c r="B24" i="11"/>
  <c r="A25" i="11"/>
  <c r="B25" i="11"/>
  <c r="A26" i="11"/>
  <c r="B26" i="11"/>
  <c r="A27" i="11"/>
  <c r="B27" i="11"/>
  <c r="A28" i="11"/>
  <c r="B28" i="11"/>
  <c r="A29" i="11"/>
  <c r="B29" i="11"/>
  <c r="A30" i="11"/>
  <c r="B30" i="11"/>
  <c r="A31" i="11"/>
  <c r="B31" i="11"/>
  <c r="A32" i="11"/>
  <c r="B32" i="11"/>
  <c r="A33" i="11"/>
  <c r="B33" i="11"/>
  <c r="A34" i="11"/>
  <c r="B34" i="11"/>
  <c r="A35" i="11"/>
  <c r="B35" i="11"/>
  <c r="A36" i="11"/>
  <c r="B36" i="11"/>
  <c r="A37" i="11"/>
  <c r="B37" i="11"/>
  <c r="A38" i="11"/>
  <c r="B38" i="11"/>
  <c r="A39" i="11"/>
  <c r="B39" i="11"/>
  <c r="A40" i="11"/>
  <c r="B40" i="11"/>
  <c r="A41" i="11"/>
  <c r="B41" i="11"/>
  <c r="A42" i="11"/>
  <c r="B42" i="11"/>
  <c r="A43" i="11"/>
  <c r="B43" i="11"/>
  <c r="A44" i="11"/>
  <c r="B44" i="11"/>
  <c r="A45" i="11"/>
  <c r="B45" i="11"/>
  <c r="A46" i="11"/>
  <c r="B46" i="11"/>
  <c r="A47" i="11"/>
  <c r="B47" i="11"/>
  <c r="A48" i="11"/>
  <c r="B48" i="11"/>
  <c r="A49" i="11"/>
  <c r="B49" i="11"/>
  <c r="A50" i="11"/>
  <c r="B50" i="11"/>
  <c r="A51" i="11"/>
  <c r="B51" i="11"/>
  <c r="A52" i="11"/>
  <c r="B52" i="11"/>
  <c r="A53" i="11"/>
  <c r="B53" i="11"/>
  <c r="A54" i="11"/>
  <c r="B54" i="11"/>
  <c r="A55" i="11"/>
  <c r="B55" i="11"/>
  <c r="A56" i="11"/>
  <c r="B56" i="11"/>
  <c r="A57" i="11"/>
  <c r="B57" i="11"/>
  <c r="A58" i="11"/>
  <c r="B58" i="11"/>
  <c r="A59" i="11"/>
  <c r="B59" i="11"/>
  <c r="A60" i="11"/>
  <c r="B60" i="11"/>
  <c r="A61" i="11"/>
  <c r="B61" i="11"/>
  <c r="A62" i="11"/>
  <c r="B62" i="11"/>
  <c r="A63" i="11"/>
  <c r="B63" i="11"/>
  <c r="A64" i="11"/>
  <c r="B64" i="11"/>
  <c r="A65" i="11"/>
  <c r="B65" i="11"/>
  <c r="A66" i="11"/>
  <c r="B66" i="11"/>
  <c r="A67" i="11"/>
  <c r="B67" i="11"/>
  <c r="A68" i="11"/>
  <c r="B68" i="11"/>
  <c r="A69" i="11"/>
  <c r="B69" i="11"/>
  <c r="A70" i="11"/>
  <c r="B70" i="11"/>
  <c r="A71" i="11"/>
  <c r="B71" i="11"/>
  <c r="A72" i="11"/>
  <c r="B72" i="11"/>
  <c r="A73" i="11"/>
  <c r="B73" i="11"/>
  <c r="A74" i="11"/>
  <c r="B74" i="11"/>
  <c r="A75" i="11"/>
  <c r="B75" i="11"/>
  <c r="A76" i="11"/>
  <c r="B76" i="11"/>
  <c r="A77" i="11"/>
  <c r="B77" i="11"/>
  <c r="A78" i="11"/>
  <c r="B78" i="11"/>
  <c r="A79" i="11"/>
  <c r="B79" i="11"/>
  <c r="A80" i="11"/>
  <c r="B80" i="11"/>
  <c r="A81" i="11"/>
  <c r="B81" i="11"/>
  <c r="A82" i="11"/>
  <c r="B82" i="11"/>
  <c r="A83" i="11"/>
  <c r="B83" i="11"/>
  <c r="A84" i="11"/>
  <c r="B84" i="11"/>
  <c r="A85" i="11"/>
  <c r="B85" i="11"/>
  <c r="A86" i="11"/>
  <c r="B86" i="11"/>
  <c r="A87" i="11"/>
  <c r="B87" i="11"/>
  <c r="A88" i="11"/>
  <c r="B88" i="11"/>
  <c r="A89" i="11"/>
  <c r="B89" i="11"/>
  <c r="A3" i="11"/>
  <c r="B3" i="11"/>
  <c r="A4" i="11"/>
  <c r="B4" i="11"/>
  <c r="A5" i="11"/>
  <c r="B5" i="11"/>
  <c r="A6" i="11"/>
  <c r="B6" i="11"/>
  <c r="A7" i="11"/>
  <c r="B7" i="11"/>
  <c r="A8" i="11"/>
  <c r="B8" i="11"/>
  <c r="A9" i="11"/>
  <c r="B9" i="11"/>
  <c r="A10" i="11"/>
  <c r="B10" i="11"/>
  <c r="A11" i="11"/>
  <c r="B11" i="11"/>
  <c r="A12" i="11"/>
  <c r="B12" i="11"/>
  <c r="A13" i="11"/>
  <c r="B13" i="11"/>
  <c r="A14" i="11"/>
  <c r="B14" i="11"/>
  <c r="A15" i="11"/>
  <c r="B15" i="11"/>
  <c r="A16" i="11"/>
  <c r="B16" i="11"/>
  <c r="A17" i="11"/>
  <c r="B17" i="11"/>
  <c r="A18" i="11"/>
  <c r="B18" i="11"/>
  <c r="B2" i="11"/>
  <c r="A2" i="11"/>
  <c r="G3" i="11"/>
  <c r="N565" i="11"/>
  <c r="N564" i="11"/>
  <c r="N563" i="11"/>
  <c r="N562" i="11"/>
  <c r="B319" i="16" l="1"/>
  <c r="B341" i="16"/>
  <c r="B342" i="16" s="1"/>
  <c r="B343" i="16" s="1"/>
  <c r="B344" i="16" s="1"/>
  <c r="B345" i="16" s="1"/>
  <c r="B346" i="16" s="1"/>
  <c r="B347" i="16" s="1"/>
  <c r="B348" i="16" s="1"/>
  <c r="B349" i="16" s="1"/>
  <c r="B350" i="16" s="1"/>
  <c r="B351" i="16" s="1"/>
  <c r="B352" i="16" s="1"/>
  <c r="B353" i="16" s="1"/>
  <c r="B354" i="16" s="1"/>
  <c r="B355" i="16" s="1"/>
  <c r="B356" i="16" s="1"/>
  <c r="B357" i="16" s="1"/>
  <c r="B358" i="16" s="1"/>
  <c r="B359" i="16" s="1"/>
  <c r="B360" i="16" s="1"/>
  <c r="B361" i="16" s="1"/>
  <c r="E117" i="16"/>
  <c r="E144" i="16" s="1"/>
  <c r="I214" i="16"/>
  <c r="I222" i="16"/>
  <c r="I212" i="16"/>
  <c r="I220" i="16"/>
  <c r="I210" i="16"/>
  <c r="I218" i="16"/>
  <c r="I226" i="16"/>
  <c r="K207" i="16"/>
  <c r="J207" i="16"/>
  <c r="I224" i="16"/>
  <c r="K246" i="16"/>
  <c r="J246" i="16"/>
  <c r="AK4" i="16"/>
  <c r="AN5" i="16" s="1"/>
  <c r="AJ5" i="16"/>
  <c r="AM6" i="16" s="1"/>
  <c r="AJ17" i="16"/>
  <c r="AM18" i="16" s="1"/>
  <c r="AK35" i="16"/>
  <c r="AN29" i="16" s="1"/>
  <c r="I208" i="16"/>
  <c r="E318" i="16"/>
  <c r="E335" i="16"/>
  <c r="E340" i="16"/>
  <c r="E328" i="16"/>
  <c r="E350" i="16"/>
  <c r="I281" i="16"/>
  <c r="AM4" i="16"/>
  <c r="AK5" i="16"/>
  <c r="AN6" i="16" s="1"/>
  <c r="AJ7" i="16"/>
  <c r="AK8" i="16"/>
  <c r="AN9" i="16" s="1"/>
  <c r="AK10" i="16"/>
  <c r="AN11" i="16" s="1"/>
  <c r="AK13" i="16"/>
  <c r="AK14" i="16"/>
  <c r="AN15" i="16" s="1"/>
  <c r="AK15" i="16"/>
  <c r="AN16" i="16" s="1"/>
  <c r="AK17" i="16"/>
  <c r="AN18" i="16" s="1"/>
  <c r="AJ19" i="16"/>
  <c r="AM20" i="16"/>
  <c r="AJ23" i="16"/>
  <c r="AM41" i="16" s="1"/>
  <c r="AK24" i="16"/>
  <c r="AN26" i="16"/>
  <c r="AK28" i="16"/>
  <c r="AN36" i="16" s="1"/>
  <c r="AM35" i="16"/>
  <c r="AN40" i="16"/>
  <c r="I209" i="16"/>
  <c r="I213" i="16"/>
  <c r="J216" i="16"/>
  <c r="I219" i="16"/>
  <c r="I223" i="16"/>
  <c r="I227" i="16"/>
  <c r="E327" i="16"/>
  <c r="E349" i="16"/>
  <c r="E356" i="16"/>
  <c r="E334" i="16"/>
  <c r="I252" i="16"/>
  <c r="I257" i="16"/>
  <c r="I261" i="16"/>
  <c r="K267" i="16"/>
  <c r="J267" i="16"/>
  <c r="I289" i="16"/>
  <c r="AJ13" i="16"/>
  <c r="AM14" i="16" s="1"/>
  <c r="AJ15" i="16"/>
  <c r="AM16" i="16" s="1"/>
  <c r="AK27" i="16"/>
  <c r="AJ28" i="16"/>
  <c r="AM36" i="16" s="1"/>
  <c r="AK32" i="16"/>
  <c r="AN32" i="16" s="1"/>
  <c r="AK34" i="16"/>
  <c r="AN30" i="16" s="1"/>
  <c r="AK36" i="16"/>
  <c r="AN28" i="16" s="1"/>
  <c r="E337" i="16"/>
  <c r="E342" i="16"/>
  <c r="E320" i="16"/>
  <c r="K250" i="16"/>
  <c r="J250" i="16"/>
  <c r="I288" i="16"/>
  <c r="AN4" i="16"/>
  <c r="AJ6" i="16"/>
  <c r="AM7" i="16" s="1"/>
  <c r="AR7" i="16" s="1"/>
  <c r="AK7" i="16"/>
  <c r="AN8" i="16" s="1"/>
  <c r="D673" i="16"/>
  <c r="D671" i="16"/>
  <c r="D669" i="16"/>
  <c r="D667" i="16"/>
  <c r="D665" i="16"/>
  <c r="D663" i="16"/>
  <c r="D661" i="16"/>
  <c r="D659" i="16"/>
  <c r="D657" i="16"/>
  <c r="D655" i="16"/>
  <c r="D653" i="16"/>
  <c r="D651" i="16"/>
  <c r="D649" i="16"/>
  <c r="D647" i="16"/>
  <c r="D645" i="16"/>
  <c r="D643" i="16"/>
  <c r="D641" i="16"/>
  <c r="D639" i="16"/>
  <c r="D637" i="16"/>
  <c r="D635" i="16"/>
  <c r="D633" i="16"/>
  <c r="D631" i="16"/>
  <c r="D629" i="16"/>
  <c r="D627" i="16"/>
  <c r="D625" i="16"/>
  <c r="D623" i="16"/>
  <c r="D621" i="16"/>
  <c r="D619" i="16"/>
  <c r="D617" i="16"/>
  <c r="D615" i="16"/>
  <c r="D613" i="16"/>
  <c r="D611" i="16"/>
  <c r="D609" i="16"/>
  <c r="D607" i="16"/>
  <c r="D605" i="16"/>
  <c r="D603" i="16"/>
  <c r="D601" i="16"/>
  <c r="D599" i="16"/>
  <c r="D597" i="16"/>
  <c r="D595" i="16"/>
  <c r="D593" i="16"/>
  <c r="D591" i="16"/>
  <c r="D589" i="16"/>
  <c r="D587" i="16"/>
  <c r="D585" i="16"/>
  <c r="D583" i="16"/>
  <c r="D581" i="16"/>
  <c r="D579" i="16"/>
  <c r="D577" i="16"/>
  <c r="D575" i="16"/>
  <c r="D573" i="16"/>
  <c r="D571" i="16"/>
  <c r="D569" i="16"/>
  <c r="D567" i="16"/>
  <c r="D565" i="16"/>
  <c r="D563" i="16"/>
  <c r="D561" i="16"/>
  <c r="D559" i="16"/>
  <c r="D557" i="16"/>
  <c r="D555" i="16"/>
  <c r="D553" i="16"/>
  <c r="D551" i="16"/>
  <c r="D549" i="16"/>
  <c r="D547" i="16"/>
  <c r="D545" i="16"/>
  <c r="D543" i="16"/>
  <c r="D541" i="16"/>
  <c r="D539" i="16"/>
  <c r="D537" i="16"/>
  <c r="D535" i="16"/>
  <c r="D533" i="16"/>
  <c r="D531" i="16"/>
  <c r="D529" i="16"/>
  <c r="D527" i="16"/>
  <c r="D525" i="16"/>
  <c r="D523" i="16"/>
  <c r="D521" i="16"/>
  <c r="D519" i="16"/>
  <c r="D517" i="16"/>
  <c r="D515" i="16"/>
  <c r="D513" i="16"/>
  <c r="D511" i="16"/>
  <c r="D509" i="16"/>
  <c r="D507" i="16"/>
  <c r="D505" i="16"/>
  <c r="D672" i="16"/>
  <c r="D670" i="16"/>
  <c r="D668" i="16"/>
  <c r="D666" i="16"/>
  <c r="D664" i="16"/>
  <c r="D662" i="16"/>
  <c r="D660" i="16"/>
  <c r="D658" i="16"/>
  <c r="D656" i="16"/>
  <c r="D654" i="16"/>
  <c r="D652" i="16"/>
  <c r="D650" i="16"/>
  <c r="D648" i="16"/>
  <c r="D646" i="16"/>
  <c r="D644" i="16"/>
  <c r="D642" i="16"/>
  <c r="D640" i="16"/>
  <c r="D638" i="16"/>
  <c r="D636" i="16"/>
  <c r="D634" i="16"/>
  <c r="D632" i="16"/>
  <c r="D630" i="16"/>
  <c r="D628" i="16"/>
  <c r="D626" i="16"/>
  <c r="D624" i="16"/>
  <c r="D622" i="16"/>
  <c r="D620" i="16"/>
  <c r="D618" i="16"/>
  <c r="D616" i="16"/>
  <c r="D614" i="16"/>
  <c r="D612" i="16"/>
  <c r="D610" i="16"/>
  <c r="D608" i="16"/>
  <c r="D606" i="16"/>
  <c r="D604" i="16"/>
  <c r="D602" i="16"/>
  <c r="D600" i="16"/>
  <c r="D598" i="16"/>
  <c r="D596" i="16"/>
  <c r="D594" i="16"/>
  <c r="D592" i="16"/>
  <c r="D590" i="16"/>
  <c r="D588" i="16"/>
  <c r="D586" i="16"/>
  <c r="D584" i="16"/>
  <c r="D582" i="16"/>
  <c r="D580" i="16"/>
  <c r="D578" i="16"/>
  <c r="D576" i="16"/>
  <c r="D574" i="16"/>
  <c r="D572" i="16"/>
  <c r="D570" i="16"/>
  <c r="D568" i="16"/>
  <c r="D566" i="16"/>
  <c r="D564" i="16"/>
  <c r="D562" i="16"/>
  <c r="D560" i="16"/>
  <c r="D558" i="16"/>
  <c r="D556" i="16"/>
  <c r="D554" i="16"/>
  <c r="D552" i="16"/>
  <c r="D550" i="16"/>
  <c r="D548" i="16"/>
  <c r="D546" i="16"/>
  <c r="D544" i="16"/>
  <c r="D542" i="16"/>
  <c r="D540" i="16"/>
  <c r="D538" i="16"/>
  <c r="D536" i="16"/>
  <c r="D534" i="16"/>
  <c r="D532" i="16"/>
  <c r="D530" i="16"/>
  <c r="D528" i="16"/>
  <c r="D526" i="16"/>
  <c r="D524" i="16"/>
  <c r="D522" i="16"/>
  <c r="D520" i="16"/>
  <c r="D518" i="16"/>
  <c r="D516" i="16"/>
  <c r="D514" i="16"/>
  <c r="D512" i="16"/>
  <c r="D510" i="16"/>
  <c r="D508" i="16"/>
  <c r="D506" i="16"/>
  <c r="D504" i="16"/>
  <c r="D502" i="16"/>
  <c r="D500" i="16"/>
  <c r="D498" i="16"/>
  <c r="D496" i="16"/>
  <c r="D494" i="16"/>
  <c r="D492" i="16"/>
  <c r="D490" i="16"/>
  <c r="D488" i="16"/>
  <c r="D486" i="16"/>
  <c r="D484" i="16"/>
  <c r="D482" i="16"/>
  <c r="D480" i="16"/>
  <c r="D478" i="16"/>
  <c r="D476" i="16"/>
  <c r="D474" i="16"/>
  <c r="D472" i="16"/>
  <c r="D470" i="16"/>
  <c r="D468" i="16"/>
  <c r="D466" i="16"/>
  <c r="D464" i="16"/>
  <c r="D462" i="16"/>
  <c r="D460" i="16"/>
  <c r="D458" i="16"/>
  <c r="D456" i="16"/>
  <c r="D454" i="16"/>
  <c r="D452" i="16"/>
  <c r="D450" i="16"/>
  <c r="D448" i="16"/>
  <c r="D446" i="16"/>
  <c r="D444" i="16"/>
  <c r="D442" i="16"/>
  <c r="D440" i="16"/>
  <c r="D438" i="16"/>
  <c r="D436" i="16"/>
  <c r="D434" i="16"/>
  <c r="D432" i="16"/>
  <c r="D430" i="16"/>
  <c r="D428" i="16"/>
  <c r="D426" i="16"/>
  <c r="D424" i="16"/>
  <c r="D422" i="16"/>
  <c r="D420" i="16"/>
  <c r="D418" i="16"/>
  <c r="D416" i="16"/>
  <c r="D414" i="16"/>
  <c r="D412" i="16"/>
  <c r="D410" i="16"/>
  <c r="D408" i="16"/>
  <c r="D406" i="16"/>
  <c r="D404" i="16"/>
  <c r="D402" i="16"/>
  <c r="D400" i="16"/>
  <c r="D398" i="16"/>
  <c r="D396" i="16"/>
  <c r="D394" i="16"/>
  <c r="D392" i="16"/>
  <c r="D390" i="16"/>
  <c r="D388" i="16"/>
  <c r="D386" i="16"/>
  <c r="D384" i="16"/>
  <c r="D382" i="16"/>
  <c r="D380" i="16"/>
  <c r="D378" i="16"/>
  <c r="D376" i="16"/>
  <c r="D503" i="16"/>
  <c r="D501" i="16"/>
  <c r="D499" i="16"/>
  <c r="D497" i="16"/>
  <c r="D495" i="16"/>
  <c r="D493" i="16"/>
  <c r="D491" i="16"/>
  <c r="D489" i="16"/>
  <c r="D487" i="16"/>
  <c r="D485" i="16"/>
  <c r="D483" i="16"/>
  <c r="D481" i="16"/>
  <c r="D479" i="16"/>
  <c r="D477" i="16"/>
  <c r="D475" i="16"/>
  <c r="D473" i="16"/>
  <c r="D471" i="16"/>
  <c r="D469" i="16"/>
  <c r="D467" i="16"/>
  <c r="D465" i="16"/>
  <c r="D463" i="16"/>
  <c r="D461" i="16"/>
  <c r="D459" i="16"/>
  <c r="D457" i="16"/>
  <c r="D455" i="16"/>
  <c r="D453" i="16"/>
  <c r="D451" i="16"/>
  <c r="D449" i="16"/>
  <c r="D447" i="16"/>
  <c r="D445" i="16"/>
  <c r="D443" i="16"/>
  <c r="D441" i="16"/>
  <c r="D439" i="16"/>
  <c r="D437" i="16"/>
  <c r="D435" i="16"/>
  <c r="D433" i="16"/>
  <c r="D431" i="16"/>
  <c r="D429" i="16"/>
  <c r="D427" i="16"/>
  <c r="D425" i="16"/>
  <c r="D423" i="16"/>
  <c r="D421" i="16"/>
  <c r="D419" i="16"/>
  <c r="D417" i="16"/>
  <c r="D415" i="16"/>
  <c r="D413" i="16"/>
  <c r="D411" i="16"/>
  <c r="D409" i="16"/>
  <c r="D407" i="16"/>
  <c r="D405" i="16"/>
  <c r="D403" i="16"/>
  <c r="D401" i="16"/>
  <c r="D399" i="16"/>
  <c r="D397" i="16"/>
  <c r="D395" i="16"/>
  <c r="D393" i="16"/>
  <c r="D391" i="16"/>
  <c r="D389" i="16"/>
  <c r="D387" i="16"/>
  <c r="D385" i="16"/>
  <c r="D383" i="16"/>
  <c r="D381" i="16"/>
  <c r="D379" i="16"/>
  <c r="D377" i="16"/>
  <c r="D375" i="16"/>
  <c r="D373" i="16"/>
  <c r="D374" i="16"/>
  <c r="AM8" i="16"/>
  <c r="AJ9" i="16"/>
  <c r="AM10" i="16" s="1"/>
  <c r="AJ12" i="16"/>
  <c r="AM13" i="16" s="1"/>
  <c r="AJ16" i="16"/>
  <c r="AM17" i="16" s="1"/>
  <c r="AR17" i="16" s="1"/>
  <c r="AK19" i="16"/>
  <c r="AN20" i="16" s="1"/>
  <c r="AJ22" i="16"/>
  <c r="AM42" i="16" s="1"/>
  <c r="AK23" i="16"/>
  <c r="AJ26" i="16"/>
  <c r="AM38" i="16" s="1"/>
  <c r="AK29" i="16"/>
  <c r="AN35" i="16" s="1"/>
  <c r="AJ30" i="16"/>
  <c r="AM34" i="16" s="1"/>
  <c r="AN37" i="16"/>
  <c r="E319" i="16"/>
  <c r="E336" i="16"/>
  <c r="E341" i="16"/>
  <c r="E321" i="16"/>
  <c r="E338" i="16"/>
  <c r="E343" i="16"/>
  <c r="E339" i="16"/>
  <c r="E322" i="16"/>
  <c r="E344" i="16"/>
  <c r="E323" i="16"/>
  <c r="E346" i="16"/>
  <c r="E325" i="16"/>
  <c r="E347" i="16"/>
  <c r="E326" i="16"/>
  <c r="E348" i="16"/>
  <c r="E332" i="16"/>
  <c r="E354" i="16"/>
  <c r="E333" i="16"/>
  <c r="E355" i="16"/>
  <c r="E360" i="16"/>
  <c r="I248" i="16"/>
  <c r="I253" i="16"/>
  <c r="K258" i="16"/>
  <c r="J258" i="16"/>
  <c r="I268" i="16"/>
  <c r="K279" i="16"/>
  <c r="J279" i="16"/>
  <c r="AJ8" i="16"/>
  <c r="AM9" i="16" s="1"/>
  <c r="AJ10" i="16"/>
  <c r="AM11" i="16" s="1"/>
  <c r="AK11" i="16"/>
  <c r="AN12" i="16" s="1"/>
  <c r="AJ14" i="16"/>
  <c r="AM15" i="16" s="1"/>
  <c r="AK18" i="16"/>
  <c r="AN19" i="16" s="1"/>
  <c r="AK20" i="16"/>
  <c r="AN21" i="16" s="1"/>
  <c r="AU21" i="16" s="1"/>
  <c r="G244" i="16" s="1"/>
  <c r="AM40" i="16"/>
  <c r="AK25" i="16"/>
  <c r="AN39" i="16" s="1"/>
  <c r="AK31" i="16"/>
  <c r="AN33" i="16" s="1"/>
  <c r="AK33" i="16"/>
  <c r="AN31" i="16" s="1"/>
  <c r="AK37" i="16"/>
  <c r="AN27" i="16" s="1"/>
  <c r="E329" i="16"/>
  <c r="E351" i="16"/>
  <c r="E358" i="16"/>
  <c r="I256" i="16"/>
  <c r="C672" i="16"/>
  <c r="C670" i="16"/>
  <c r="C668" i="16"/>
  <c r="C666" i="16"/>
  <c r="C664" i="16"/>
  <c r="C662" i="16"/>
  <c r="C660" i="16"/>
  <c r="C658" i="16"/>
  <c r="C656" i="16"/>
  <c r="C654" i="16"/>
  <c r="C652" i="16"/>
  <c r="C650" i="16"/>
  <c r="C648" i="16"/>
  <c r="C646" i="16"/>
  <c r="C644" i="16"/>
  <c r="C642" i="16"/>
  <c r="C640" i="16"/>
  <c r="C638" i="16"/>
  <c r="C636" i="16"/>
  <c r="C634" i="16"/>
  <c r="C632" i="16"/>
  <c r="C630" i="16"/>
  <c r="C628" i="16"/>
  <c r="C626" i="16"/>
  <c r="C624" i="16"/>
  <c r="C622" i="16"/>
  <c r="C620" i="16"/>
  <c r="C618" i="16"/>
  <c r="C616" i="16"/>
  <c r="C614" i="16"/>
  <c r="C612" i="16"/>
  <c r="C610" i="16"/>
  <c r="C608" i="16"/>
  <c r="C606" i="16"/>
  <c r="C604" i="16"/>
  <c r="C602" i="16"/>
  <c r="C600" i="16"/>
  <c r="C598" i="16"/>
  <c r="C596" i="16"/>
  <c r="C594" i="16"/>
  <c r="C592" i="16"/>
  <c r="C590" i="16"/>
  <c r="C588" i="16"/>
  <c r="C586" i="16"/>
  <c r="C584" i="16"/>
  <c r="C582" i="16"/>
  <c r="C580" i="16"/>
  <c r="C578" i="16"/>
  <c r="C576" i="16"/>
  <c r="C574" i="16"/>
  <c r="C572" i="16"/>
  <c r="C570" i="16"/>
  <c r="C568" i="16"/>
  <c r="C566" i="16"/>
  <c r="C564" i="16"/>
  <c r="C562" i="16"/>
  <c r="C560" i="16"/>
  <c r="C558" i="16"/>
  <c r="C556" i="16"/>
  <c r="C554" i="16"/>
  <c r="C552" i="16"/>
  <c r="C550" i="16"/>
  <c r="C548" i="16"/>
  <c r="C546" i="16"/>
  <c r="C544" i="16"/>
  <c r="C542" i="16"/>
  <c r="C540" i="16"/>
  <c r="C538" i="16"/>
  <c r="C536" i="16"/>
  <c r="C534" i="16"/>
  <c r="C532" i="16"/>
  <c r="C530" i="16"/>
  <c r="C528" i="16"/>
  <c r="C526" i="16"/>
  <c r="C524" i="16"/>
  <c r="C522" i="16"/>
  <c r="C520" i="16"/>
  <c r="C518" i="16"/>
  <c r="C516" i="16"/>
  <c r="C514" i="16"/>
  <c r="C512" i="16"/>
  <c r="C510" i="16"/>
  <c r="C508" i="16"/>
  <c r="C506" i="16"/>
  <c r="C673" i="16"/>
  <c r="C665" i="16"/>
  <c r="C657" i="16"/>
  <c r="C649" i="16"/>
  <c r="C641" i="16"/>
  <c r="C633" i="16"/>
  <c r="C625" i="16"/>
  <c r="C617" i="16"/>
  <c r="C609" i="16"/>
  <c r="C601" i="16"/>
  <c r="C593" i="16"/>
  <c r="C585" i="16"/>
  <c r="C577" i="16"/>
  <c r="C569" i="16"/>
  <c r="C561" i="16"/>
  <c r="C553" i="16"/>
  <c r="C545" i="16"/>
  <c r="C537" i="16"/>
  <c r="C529" i="16"/>
  <c r="C521" i="16"/>
  <c r="C513" i="16"/>
  <c r="C505" i="16"/>
  <c r="C671" i="16"/>
  <c r="C663" i="16"/>
  <c r="C655" i="16"/>
  <c r="C647" i="16"/>
  <c r="C639" i="16"/>
  <c r="C631" i="16"/>
  <c r="C623" i="16"/>
  <c r="C615" i="16"/>
  <c r="C607" i="16"/>
  <c r="C599" i="16"/>
  <c r="C591" i="16"/>
  <c r="C583" i="16"/>
  <c r="C575" i="16"/>
  <c r="C567" i="16"/>
  <c r="C559" i="16"/>
  <c r="C551" i="16"/>
  <c r="C543" i="16"/>
  <c r="C535" i="16"/>
  <c r="C527" i="16"/>
  <c r="C519" i="16"/>
  <c r="C511" i="16"/>
  <c r="C504" i="16"/>
  <c r="C502" i="16"/>
  <c r="C500" i="16"/>
  <c r="C498" i="16"/>
  <c r="C496" i="16"/>
  <c r="C494" i="16"/>
  <c r="C492" i="16"/>
  <c r="C490" i="16"/>
  <c r="C488" i="16"/>
  <c r="C486" i="16"/>
  <c r="C484" i="16"/>
  <c r="C482" i="16"/>
  <c r="C480" i="16"/>
  <c r="C478" i="16"/>
  <c r="C476" i="16"/>
  <c r="C474" i="16"/>
  <c r="C472" i="16"/>
  <c r="C470" i="16"/>
  <c r="C468" i="16"/>
  <c r="C466" i="16"/>
  <c r="C464" i="16"/>
  <c r="C462" i="16"/>
  <c r="C460" i="16"/>
  <c r="C458" i="16"/>
  <c r="C456" i="16"/>
  <c r="C454" i="16"/>
  <c r="C452" i="16"/>
  <c r="C450" i="16"/>
  <c r="C448" i="16"/>
  <c r="C446" i="16"/>
  <c r="C444" i="16"/>
  <c r="C442" i="16"/>
  <c r="C440" i="16"/>
  <c r="C438" i="16"/>
  <c r="C436" i="16"/>
  <c r="C434" i="16"/>
  <c r="C432" i="16"/>
  <c r="C430" i="16"/>
  <c r="C428" i="16"/>
  <c r="C426" i="16"/>
  <c r="C424" i="16"/>
  <c r="C422" i="16"/>
  <c r="C420" i="16"/>
  <c r="C418" i="16"/>
  <c r="C416" i="16"/>
  <c r="C414" i="16"/>
  <c r="C412" i="16"/>
  <c r="C410" i="16"/>
  <c r="C408" i="16"/>
  <c r="C406" i="16"/>
  <c r="C404" i="16"/>
  <c r="C402" i="16"/>
  <c r="C400" i="16"/>
  <c r="C398" i="16"/>
  <c r="C396" i="16"/>
  <c r="C394" i="16"/>
  <c r="C392" i="16"/>
  <c r="C390" i="16"/>
  <c r="C388" i="16"/>
  <c r="C386" i="16"/>
  <c r="C384" i="16"/>
  <c r="C382" i="16"/>
  <c r="C380" i="16"/>
  <c r="C378" i="16"/>
  <c r="C669" i="16"/>
  <c r="C661" i="16"/>
  <c r="C653" i="16"/>
  <c r="C645" i="16"/>
  <c r="C637" i="16"/>
  <c r="C629" i="16"/>
  <c r="C621" i="16"/>
  <c r="C613" i="16"/>
  <c r="C605" i="16"/>
  <c r="C597" i="16"/>
  <c r="C589" i="16"/>
  <c r="C581" i="16"/>
  <c r="C573" i="16"/>
  <c r="C565" i="16"/>
  <c r="C557" i="16"/>
  <c r="C549" i="16"/>
  <c r="C541" i="16"/>
  <c r="C533" i="16"/>
  <c r="C525" i="16"/>
  <c r="C517" i="16"/>
  <c r="C509" i="16"/>
  <c r="C667" i="16"/>
  <c r="C635" i="16"/>
  <c r="C603" i="16"/>
  <c r="C571" i="16"/>
  <c r="C539" i="16"/>
  <c r="C507" i="16"/>
  <c r="C497" i="16"/>
  <c r="C489" i="16"/>
  <c r="C481" i="16"/>
  <c r="C473" i="16"/>
  <c r="C465" i="16"/>
  <c r="C457" i="16"/>
  <c r="C449" i="16"/>
  <c r="C441" i="16"/>
  <c r="C433" i="16"/>
  <c r="C425" i="16"/>
  <c r="C417" i="16"/>
  <c r="C409" i="16"/>
  <c r="C401" i="16"/>
  <c r="C393" i="16"/>
  <c r="C385" i="16"/>
  <c r="C377" i="16"/>
  <c r="C659" i="16"/>
  <c r="C627" i="16"/>
  <c r="C595" i="16"/>
  <c r="C563" i="16"/>
  <c r="C531" i="16"/>
  <c r="C503" i="16"/>
  <c r="C495" i="16"/>
  <c r="C487" i="16"/>
  <c r="C479" i="16"/>
  <c r="C471" i="16"/>
  <c r="C463" i="16"/>
  <c r="C455" i="16"/>
  <c r="C447" i="16"/>
  <c r="C439" i="16"/>
  <c r="C431" i="16"/>
  <c r="C423" i="16"/>
  <c r="C415" i="16"/>
  <c r="C407" i="16"/>
  <c r="C399" i="16"/>
  <c r="C391" i="16"/>
  <c r="C383" i="16"/>
  <c r="C376" i="16"/>
  <c r="C375" i="16"/>
  <c r="C373" i="16"/>
  <c r="C651" i="16"/>
  <c r="C619" i="16"/>
  <c r="C587" i="16"/>
  <c r="C555" i="16"/>
  <c r="C523" i="16"/>
  <c r="C501" i="16"/>
  <c r="C493" i="16"/>
  <c r="C485" i="16"/>
  <c r="C477" i="16"/>
  <c r="C469" i="16"/>
  <c r="C461" i="16"/>
  <c r="C453" i="16"/>
  <c r="C445" i="16"/>
  <c r="C437" i="16"/>
  <c r="C429" i="16"/>
  <c r="C421" i="16"/>
  <c r="C413" i="16"/>
  <c r="C405" i="16"/>
  <c r="C397" i="16"/>
  <c r="C389" i="16"/>
  <c r="C381" i="16"/>
  <c r="C643" i="16"/>
  <c r="C515" i="16"/>
  <c r="C475" i="16"/>
  <c r="C443" i="16"/>
  <c r="C411" i="16"/>
  <c r="C379" i="16"/>
  <c r="C611" i="16"/>
  <c r="C499" i="16"/>
  <c r="C467" i="16"/>
  <c r="C435" i="16"/>
  <c r="C403" i="16"/>
  <c r="C579" i="16"/>
  <c r="C491" i="16"/>
  <c r="C459" i="16"/>
  <c r="C427" i="16"/>
  <c r="C395" i="16"/>
  <c r="C547" i="16"/>
  <c r="C387" i="16"/>
  <c r="C483" i="16"/>
  <c r="C451" i="16"/>
  <c r="AJ4" i="16"/>
  <c r="AM5" i="16" s="1"/>
  <c r="AK6" i="16"/>
  <c r="AN7" i="16" s="1"/>
  <c r="AU7" i="16" s="1"/>
  <c r="G230" i="16" s="1"/>
  <c r="AK9" i="16"/>
  <c r="AN10" i="16" s="1"/>
  <c r="AJ11" i="16"/>
  <c r="AM12" i="16" s="1"/>
  <c r="AK12" i="16"/>
  <c r="AN13" i="16" s="1"/>
  <c r="AN14" i="16"/>
  <c r="AK16" i="16"/>
  <c r="AN17" i="16" s="1"/>
  <c r="AJ18" i="16"/>
  <c r="AM19" i="16" s="1"/>
  <c r="AJ20" i="16"/>
  <c r="AM21" i="16" s="1"/>
  <c r="AK22" i="16"/>
  <c r="AN42" i="16" s="1"/>
  <c r="AJ25" i="16"/>
  <c r="AM39" i="16" s="1"/>
  <c r="AK26" i="16"/>
  <c r="AN38" i="16" s="1"/>
  <c r="AJ27" i="16"/>
  <c r="AM37" i="16" s="1"/>
  <c r="AK30" i="16"/>
  <c r="AN34" i="16" s="1"/>
  <c r="AJ31" i="16"/>
  <c r="AM33" i="16" s="1"/>
  <c r="AJ32" i="16"/>
  <c r="AM32" i="16" s="1"/>
  <c r="AJ33" i="16"/>
  <c r="AM31" i="16" s="1"/>
  <c r="AJ34" i="16"/>
  <c r="AM30" i="16" s="1"/>
  <c r="AJ35" i="16"/>
  <c r="AM29" i="16" s="1"/>
  <c r="AJ36" i="16"/>
  <c r="AM28" i="16" s="1"/>
  <c r="AJ37" i="16"/>
  <c r="AM27" i="16" s="1"/>
  <c r="AJ38" i="16"/>
  <c r="AM26" i="16" s="1"/>
  <c r="AN41" i="16"/>
  <c r="AS19" i="16" s="1"/>
  <c r="I211" i="16"/>
  <c r="I215" i="16"/>
  <c r="I217" i="16"/>
  <c r="I221" i="16"/>
  <c r="I225" i="16"/>
  <c r="E330" i="16"/>
  <c r="E352" i="16"/>
  <c r="E331" i="16"/>
  <c r="E353" i="16"/>
  <c r="E361" i="16"/>
  <c r="I249" i="16"/>
  <c r="I254" i="16"/>
  <c r="I269" i="16"/>
  <c r="I280" i="16"/>
  <c r="K287" i="16"/>
  <c r="J287" i="16"/>
  <c r="C419" i="16"/>
  <c r="I262" i="16"/>
  <c r="I270" i="16"/>
  <c r="K275" i="16"/>
  <c r="J275" i="16"/>
  <c r="I276" i="16"/>
  <c r="I277" i="16"/>
  <c r="I282" i="16"/>
  <c r="I290" i="16"/>
  <c r="K295" i="16"/>
  <c r="J295" i="16"/>
  <c r="I296" i="16"/>
  <c r="K263" i="16"/>
  <c r="J263" i="16"/>
  <c r="I264" i="16"/>
  <c r="I265" i="16"/>
  <c r="K271" i="16"/>
  <c r="J271" i="16"/>
  <c r="I272" i="16"/>
  <c r="I273" i="16"/>
  <c r="I278" i="16"/>
  <c r="K283" i="16"/>
  <c r="J283" i="16"/>
  <c r="I284" i="16"/>
  <c r="I285" i="16"/>
  <c r="K291" i="16"/>
  <c r="J291" i="16"/>
  <c r="I292" i="16"/>
  <c r="I293" i="16"/>
  <c r="E359" i="16"/>
  <c r="I245" i="16"/>
  <c r="I247" i="16"/>
  <c r="I251" i="16"/>
  <c r="I255" i="16"/>
  <c r="I259" i="16"/>
  <c r="I260" i="16"/>
  <c r="I266" i="16"/>
  <c r="I274" i="16"/>
  <c r="I286" i="16"/>
  <c r="I294" i="16"/>
  <c r="K301" i="16"/>
  <c r="J301" i="16"/>
  <c r="K297" i="16"/>
  <c r="J297" i="16"/>
  <c r="I298" i="16"/>
  <c r="I299" i="16"/>
  <c r="I300" i="16"/>
  <c r="D570" i="13"/>
  <c r="D618" i="13"/>
  <c r="D551" i="13"/>
  <c r="C634" i="13"/>
  <c r="D634" i="13"/>
  <c r="D397" i="13"/>
  <c r="F44" i="13"/>
  <c r="D666" i="13"/>
  <c r="D602" i="13"/>
  <c r="D519" i="13"/>
  <c r="C496" i="13"/>
  <c r="D650" i="13"/>
  <c r="D586" i="13"/>
  <c r="D461" i="13"/>
  <c r="D662" i="13"/>
  <c r="D646" i="13"/>
  <c r="D630" i="13"/>
  <c r="D614" i="13"/>
  <c r="D598" i="13"/>
  <c r="D582" i="13"/>
  <c r="D566" i="13"/>
  <c r="D543" i="13"/>
  <c r="D509" i="13"/>
  <c r="D445" i="13"/>
  <c r="D381" i="13"/>
  <c r="C618" i="13"/>
  <c r="C432" i="13"/>
  <c r="D658" i="13"/>
  <c r="D642" i="13"/>
  <c r="D626" i="13"/>
  <c r="D610" i="13"/>
  <c r="D594" i="13"/>
  <c r="D578" i="13"/>
  <c r="D562" i="13"/>
  <c r="D535" i="13"/>
  <c r="D493" i="13"/>
  <c r="D429" i="13"/>
  <c r="C666" i="13"/>
  <c r="C602" i="13"/>
  <c r="D670" i="13"/>
  <c r="D654" i="13"/>
  <c r="D638" i="13"/>
  <c r="D622" i="13"/>
  <c r="D606" i="13"/>
  <c r="D590" i="13"/>
  <c r="D574" i="13"/>
  <c r="D557" i="13"/>
  <c r="D527" i="13"/>
  <c r="D477" i="13"/>
  <c r="C650" i="13"/>
  <c r="AK24" i="13"/>
  <c r="AN40" i="13" s="1"/>
  <c r="F45" i="13"/>
  <c r="U3" i="13"/>
  <c r="B18" i="13" s="1"/>
  <c r="D673" i="13"/>
  <c r="D374" i="13"/>
  <c r="D378" i="13"/>
  <c r="D382" i="13"/>
  <c r="D386" i="13"/>
  <c r="D390" i="13"/>
  <c r="D394" i="13"/>
  <c r="D398" i="13"/>
  <c r="D402" i="13"/>
  <c r="D406" i="13"/>
  <c r="D410" i="13"/>
  <c r="D414" i="13"/>
  <c r="D418" i="13"/>
  <c r="D422" i="13"/>
  <c r="D426" i="13"/>
  <c r="D430" i="13"/>
  <c r="D434" i="13"/>
  <c r="D438" i="13"/>
  <c r="D442" i="13"/>
  <c r="D446" i="13"/>
  <c r="D450" i="13"/>
  <c r="D454" i="13"/>
  <c r="D458" i="13"/>
  <c r="D462" i="13"/>
  <c r="D466" i="13"/>
  <c r="D470" i="13"/>
  <c r="D474" i="13"/>
  <c r="D478" i="13"/>
  <c r="D482" i="13"/>
  <c r="D486" i="13"/>
  <c r="D490" i="13"/>
  <c r="D494" i="13"/>
  <c r="D498" i="13"/>
  <c r="D502" i="13"/>
  <c r="D506" i="13"/>
  <c r="D510" i="13"/>
  <c r="D514" i="13"/>
  <c r="D518" i="13"/>
  <c r="D522" i="13"/>
  <c r="D526" i="13"/>
  <c r="D530" i="13"/>
  <c r="D534" i="13"/>
  <c r="D538" i="13"/>
  <c r="D542" i="13"/>
  <c r="D546" i="13"/>
  <c r="D550" i="13"/>
  <c r="D554" i="13"/>
  <c r="D558" i="13"/>
  <c r="D375" i="13"/>
  <c r="D379" i="13"/>
  <c r="D383" i="13"/>
  <c r="D387" i="13"/>
  <c r="D391" i="13"/>
  <c r="D395" i="13"/>
  <c r="D399" i="13"/>
  <c r="D403" i="13"/>
  <c r="D407" i="13"/>
  <c r="D411" i="13"/>
  <c r="D415" i="13"/>
  <c r="D419" i="13"/>
  <c r="D423" i="13"/>
  <c r="D427" i="13"/>
  <c r="D431" i="13"/>
  <c r="D435" i="13"/>
  <c r="D439" i="13"/>
  <c r="D443" i="13"/>
  <c r="D447" i="13"/>
  <c r="D451" i="13"/>
  <c r="D455" i="13"/>
  <c r="D459" i="13"/>
  <c r="D463" i="13"/>
  <c r="D467" i="13"/>
  <c r="D471" i="13"/>
  <c r="D475" i="13"/>
  <c r="D479" i="13"/>
  <c r="D483" i="13"/>
  <c r="D487" i="13"/>
  <c r="D491" i="13"/>
  <c r="D495" i="13"/>
  <c r="D499" i="13"/>
  <c r="D503" i="13"/>
  <c r="D507" i="13"/>
  <c r="D511" i="13"/>
  <c r="D376" i="13"/>
  <c r="D380" i="13"/>
  <c r="D384" i="13"/>
  <c r="D388" i="13"/>
  <c r="D392" i="13"/>
  <c r="D396" i="13"/>
  <c r="D400" i="13"/>
  <c r="D404" i="13"/>
  <c r="D408" i="13"/>
  <c r="D412" i="13"/>
  <c r="D416" i="13"/>
  <c r="D420" i="13"/>
  <c r="D424" i="13"/>
  <c r="D428" i="13"/>
  <c r="D432" i="13"/>
  <c r="D436" i="13"/>
  <c r="D440" i="13"/>
  <c r="D444" i="13"/>
  <c r="D448" i="13"/>
  <c r="D452" i="13"/>
  <c r="D456" i="13"/>
  <c r="D460" i="13"/>
  <c r="D464" i="13"/>
  <c r="D468" i="13"/>
  <c r="D472" i="13"/>
  <c r="D476" i="13"/>
  <c r="D480" i="13"/>
  <c r="D484" i="13"/>
  <c r="D488" i="13"/>
  <c r="D492" i="13"/>
  <c r="D496" i="13"/>
  <c r="D500" i="13"/>
  <c r="D504" i="13"/>
  <c r="D508" i="13"/>
  <c r="D512" i="13"/>
  <c r="D516" i="13"/>
  <c r="D520" i="13"/>
  <c r="D524" i="13"/>
  <c r="D528" i="13"/>
  <c r="D532" i="13"/>
  <c r="D536" i="13"/>
  <c r="D540" i="13"/>
  <c r="D544" i="13"/>
  <c r="D548" i="13"/>
  <c r="D552" i="13"/>
  <c r="AN4" i="13"/>
  <c r="C377" i="13"/>
  <c r="C381" i="13"/>
  <c r="C385" i="13"/>
  <c r="C389" i="13"/>
  <c r="C393" i="13"/>
  <c r="C397" i="13"/>
  <c r="C401" i="13"/>
  <c r="C405" i="13"/>
  <c r="C409" i="13"/>
  <c r="C413" i="13"/>
  <c r="C417" i="13"/>
  <c r="C421" i="13"/>
  <c r="C425" i="13"/>
  <c r="C429" i="13"/>
  <c r="C433" i="13"/>
  <c r="C437" i="13"/>
  <c r="C441" i="13"/>
  <c r="C445" i="13"/>
  <c r="C449" i="13"/>
  <c r="C453" i="13"/>
  <c r="C457" i="13"/>
  <c r="C461" i="13"/>
  <c r="C465" i="13"/>
  <c r="C469" i="13"/>
  <c r="C473" i="13"/>
  <c r="C477" i="13"/>
  <c r="C481" i="13"/>
  <c r="C485" i="13"/>
  <c r="C489" i="13"/>
  <c r="C493" i="13"/>
  <c r="C497" i="13"/>
  <c r="C501" i="13"/>
  <c r="C505" i="13"/>
  <c r="C509" i="13"/>
  <c r="C513" i="13"/>
  <c r="C517" i="13"/>
  <c r="C521" i="13"/>
  <c r="C525" i="13"/>
  <c r="C529" i="13"/>
  <c r="C533" i="13"/>
  <c r="C537" i="13"/>
  <c r="C541" i="13"/>
  <c r="C545" i="13"/>
  <c r="C549" i="13"/>
  <c r="C553" i="13"/>
  <c r="C557" i="13"/>
  <c r="C561" i="13"/>
  <c r="C565" i="13"/>
  <c r="C569" i="13"/>
  <c r="C573" i="13"/>
  <c r="C577" i="13"/>
  <c r="C581" i="13"/>
  <c r="C585" i="13"/>
  <c r="C589" i="13"/>
  <c r="C593" i="13"/>
  <c r="C374" i="13"/>
  <c r="C378" i="13"/>
  <c r="C382" i="13"/>
  <c r="C386" i="13"/>
  <c r="C390" i="13"/>
  <c r="C394" i="13"/>
  <c r="C398" i="13"/>
  <c r="C402" i="13"/>
  <c r="C406" i="13"/>
  <c r="C410" i="13"/>
  <c r="C414" i="13"/>
  <c r="C418" i="13"/>
  <c r="C422" i="13"/>
  <c r="C426" i="13"/>
  <c r="C430" i="13"/>
  <c r="C434" i="13"/>
  <c r="C438" i="13"/>
  <c r="C442" i="13"/>
  <c r="C446" i="13"/>
  <c r="C450" i="13"/>
  <c r="C454" i="13"/>
  <c r="C458" i="13"/>
  <c r="C462" i="13"/>
  <c r="C466" i="13"/>
  <c r="C470" i="13"/>
  <c r="C474" i="13"/>
  <c r="C478" i="13"/>
  <c r="C482" i="13"/>
  <c r="C486" i="13"/>
  <c r="C490" i="13"/>
  <c r="C494" i="13"/>
  <c r="C498" i="13"/>
  <c r="C502" i="13"/>
  <c r="C506" i="13"/>
  <c r="C510" i="13"/>
  <c r="C514" i="13"/>
  <c r="C518" i="13"/>
  <c r="C522" i="13"/>
  <c r="C526" i="13"/>
  <c r="C530" i="13"/>
  <c r="C534" i="13"/>
  <c r="C538" i="13"/>
  <c r="C542" i="13"/>
  <c r="C546" i="13"/>
  <c r="C550" i="13"/>
  <c r="C554" i="13"/>
  <c r="C558" i="13"/>
  <c r="C562" i="13"/>
  <c r="C566" i="13"/>
  <c r="C570" i="13"/>
  <c r="C574" i="13"/>
  <c r="C578" i="13"/>
  <c r="C582" i="13"/>
  <c r="C586" i="13"/>
  <c r="C590" i="13"/>
  <c r="C375" i="13"/>
  <c r="C379" i="13"/>
  <c r="C383" i="13"/>
  <c r="C387" i="13"/>
  <c r="C391" i="13"/>
  <c r="C395" i="13"/>
  <c r="C399" i="13"/>
  <c r="C403" i="13"/>
  <c r="C407" i="13"/>
  <c r="C411" i="13"/>
  <c r="C415" i="13"/>
  <c r="C419" i="13"/>
  <c r="C423" i="13"/>
  <c r="C427" i="13"/>
  <c r="C431" i="13"/>
  <c r="C435" i="13"/>
  <c r="C439" i="13"/>
  <c r="C443" i="13"/>
  <c r="C447" i="13"/>
  <c r="C451" i="13"/>
  <c r="C455" i="13"/>
  <c r="C459" i="13"/>
  <c r="C463" i="13"/>
  <c r="C467" i="13"/>
  <c r="C471" i="13"/>
  <c r="C475" i="13"/>
  <c r="C479" i="13"/>
  <c r="C483" i="13"/>
  <c r="C487" i="13"/>
  <c r="C491" i="13"/>
  <c r="C495" i="13"/>
  <c r="C499" i="13"/>
  <c r="C503" i="13"/>
  <c r="C507" i="13"/>
  <c r="C511" i="13"/>
  <c r="C515" i="13"/>
  <c r="C519" i="13"/>
  <c r="C523" i="13"/>
  <c r="C527" i="13"/>
  <c r="C531" i="13"/>
  <c r="C535" i="13"/>
  <c r="C539" i="13"/>
  <c r="C543" i="13"/>
  <c r="C547" i="13"/>
  <c r="C551" i="13"/>
  <c r="C555" i="13"/>
  <c r="C559" i="13"/>
  <c r="C563" i="13"/>
  <c r="C567" i="13"/>
  <c r="C571" i="13"/>
  <c r="C575" i="13"/>
  <c r="C579" i="13"/>
  <c r="C583" i="13"/>
  <c r="C587" i="13"/>
  <c r="C591" i="13"/>
  <c r="C595" i="13"/>
  <c r="C388" i="13"/>
  <c r="C404" i="13"/>
  <c r="C420" i="13"/>
  <c r="C436" i="13"/>
  <c r="C452" i="13"/>
  <c r="C468" i="13"/>
  <c r="C484" i="13"/>
  <c r="C500" i="13"/>
  <c r="C516" i="13"/>
  <c r="C532" i="13"/>
  <c r="C548" i="13"/>
  <c r="C564" i="13"/>
  <c r="C580" i="13"/>
  <c r="C594" i="13"/>
  <c r="C599" i="13"/>
  <c r="C603" i="13"/>
  <c r="C607" i="13"/>
  <c r="C611" i="13"/>
  <c r="C615" i="13"/>
  <c r="C619" i="13"/>
  <c r="C623" i="13"/>
  <c r="C627" i="13"/>
  <c r="C631" i="13"/>
  <c r="C635" i="13"/>
  <c r="C639" i="13"/>
  <c r="C643" i="13"/>
  <c r="C647" i="13"/>
  <c r="C651" i="13"/>
  <c r="C655" i="13"/>
  <c r="C659" i="13"/>
  <c r="C663" i="13"/>
  <c r="C667" i="13"/>
  <c r="C671" i="13"/>
  <c r="C376" i="13"/>
  <c r="C392" i="13"/>
  <c r="C408" i="13"/>
  <c r="C424" i="13"/>
  <c r="C440" i="13"/>
  <c r="C456" i="13"/>
  <c r="C472" i="13"/>
  <c r="C488" i="13"/>
  <c r="C504" i="13"/>
  <c r="C520" i="13"/>
  <c r="C536" i="13"/>
  <c r="C552" i="13"/>
  <c r="C568" i="13"/>
  <c r="C584" i="13"/>
  <c r="C596" i="13"/>
  <c r="C600" i="13"/>
  <c r="C604" i="13"/>
  <c r="C608" i="13"/>
  <c r="C612" i="13"/>
  <c r="C616" i="13"/>
  <c r="C620" i="13"/>
  <c r="C624" i="13"/>
  <c r="C628" i="13"/>
  <c r="C632" i="13"/>
  <c r="C636" i="13"/>
  <c r="C640" i="13"/>
  <c r="C644" i="13"/>
  <c r="C648" i="13"/>
  <c r="C652" i="13"/>
  <c r="C656" i="13"/>
  <c r="C660" i="13"/>
  <c r="C664" i="13"/>
  <c r="C668" i="13"/>
  <c r="C672" i="13"/>
  <c r="C380" i="13"/>
  <c r="C396" i="13"/>
  <c r="C412" i="13"/>
  <c r="C428" i="13"/>
  <c r="C444" i="13"/>
  <c r="C460" i="13"/>
  <c r="C476" i="13"/>
  <c r="C492" i="13"/>
  <c r="C508" i="13"/>
  <c r="C524" i="13"/>
  <c r="C540" i="13"/>
  <c r="C556" i="13"/>
  <c r="C572" i="13"/>
  <c r="C588" i="13"/>
  <c r="C597" i="13"/>
  <c r="C601" i="13"/>
  <c r="C605" i="13"/>
  <c r="C609" i="13"/>
  <c r="C613" i="13"/>
  <c r="C617" i="13"/>
  <c r="C621" i="13"/>
  <c r="C625" i="13"/>
  <c r="C629" i="13"/>
  <c r="C633" i="13"/>
  <c r="C637" i="13"/>
  <c r="C641" i="13"/>
  <c r="C645" i="13"/>
  <c r="C649" i="13"/>
  <c r="C653" i="13"/>
  <c r="C657" i="13"/>
  <c r="C661" i="13"/>
  <c r="C665" i="13"/>
  <c r="C669" i="13"/>
  <c r="C673" i="13"/>
  <c r="D373" i="13"/>
  <c r="D669" i="13"/>
  <c r="D665" i="13"/>
  <c r="D661" i="13"/>
  <c r="D657" i="13"/>
  <c r="D653" i="13"/>
  <c r="D649" i="13"/>
  <c r="D645" i="13"/>
  <c r="D641" i="13"/>
  <c r="D637" i="13"/>
  <c r="D633" i="13"/>
  <c r="D629" i="13"/>
  <c r="D625" i="13"/>
  <c r="D621" i="13"/>
  <c r="D617" i="13"/>
  <c r="D613" i="13"/>
  <c r="D609" i="13"/>
  <c r="D605" i="13"/>
  <c r="D601" i="13"/>
  <c r="D597" i="13"/>
  <c r="D593" i="13"/>
  <c r="D589" i="13"/>
  <c r="D585" i="13"/>
  <c r="D581" i="13"/>
  <c r="D577" i="13"/>
  <c r="D573" i="13"/>
  <c r="D569" i="13"/>
  <c r="D565" i="13"/>
  <c r="D561" i="13"/>
  <c r="D556" i="13"/>
  <c r="D549" i="13"/>
  <c r="D541" i="13"/>
  <c r="D533" i="13"/>
  <c r="D525" i="13"/>
  <c r="D517" i="13"/>
  <c r="D505" i="13"/>
  <c r="D489" i="13"/>
  <c r="D473" i="13"/>
  <c r="D457" i="13"/>
  <c r="D441" i="13"/>
  <c r="D425" i="13"/>
  <c r="D409" i="13"/>
  <c r="D393" i="13"/>
  <c r="D377" i="13"/>
  <c r="C662" i="13"/>
  <c r="C646" i="13"/>
  <c r="C630" i="13"/>
  <c r="C614" i="13"/>
  <c r="C598" i="13"/>
  <c r="C544" i="13"/>
  <c r="C480" i="13"/>
  <c r="C416" i="13"/>
  <c r="E335" i="13"/>
  <c r="E338" i="13"/>
  <c r="E321" i="13"/>
  <c r="D672" i="13"/>
  <c r="D668" i="13"/>
  <c r="D664" i="13"/>
  <c r="D660" i="13"/>
  <c r="D656" i="13"/>
  <c r="D652" i="13"/>
  <c r="D648" i="13"/>
  <c r="D644" i="13"/>
  <c r="D640" i="13"/>
  <c r="D636" i="13"/>
  <c r="D632" i="13"/>
  <c r="D628" i="13"/>
  <c r="D624" i="13"/>
  <c r="D620" i="13"/>
  <c r="D616" i="13"/>
  <c r="D612" i="13"/>
  <c r="D608" i="13"/>
  <c r="D604" i="13"/>
  <c r="D600" i="13"/>
  <c r="D596" i="13"/>
  <c r="D592" i="13"/>
  <c r="D588" i="13"/>
  <c r="D584" i="13"/>
  <c r="D580" i="13"/>
  <c r="D576" i="13"/>
  <c r="D572" i="13"/>
  <c r="D568" i="13"/>
  <c r="D564" i="13"/>
  <c r="D560" i="13"/>
  <c r="D555" i="13"/>
  <c r="D547" i="13"/>
  <c r="D539" i="13"/>
  <c r="D531" i="13"/>
  <c r="D523" i="13"/>
  <c r="D515" i="13"/>
  <c r="D501" i="13"/>
  <c r="D485" i="13"/>
  <c r="D469" i="13"/>
  <c r="D453" i="13"/>
  <c r="D437" i="13"/>
  <c r="D421" i="13"/>
  <c r="D405" i="13"/>
  <c r="D389" i="13"/>
  <c r="C373" i="13"/>
  <c r="C658" i="13"/>
  <c r="C642" i="13"/>
  <c r="C626" i="13"/>
  <c r="C610" i="13"/>
  <c r="C592" i="13"/>
  <c r="C528" i="13"/>
  <c r="C464" i="13"/>
  <c r="C400" i="13"/>
  <c r="E337" i="13"/>
  <c r="E320" i="13"/>
  <c r="B319" i="13"/>
  <c r="B320" i="13" s="1"/>
  <c r="B321" i="13" s="1"/>
  <c r="B322" i="13" s="1"/>
  <c r="B323" i="13" s="1"/>
  <c r="B324" i="13" s="1"/>
  <c r="B325" i="13" s="1"/>
  <c r="B326" i="13" s="1"/>
  <c r="E117" i="13"/>
  <c r="E144" i="13" s="1"/>
  <c r="E319" i="13"/>
  <c r="E336" i="13"/>
  <c r="E339" i="13"/>
  <c r="E322" i="13"/>
  <c r="D671" i="13"/>
  <c r="D667" i="13"/>
  <c r="D663" i="13"/>
  <c r="D659" i="13"/>
  <c r="D655" i="13"/>
  <c r="D651" i="13"/>
  <c r="D647" i="13"/>
  <c r="D643" i="13"/>
  <c r="D639" i="13"/>
  <c r="D635" i="13"/>
  <c r="D631" i="13"/>
  <c r="D627" i="13"/>
  <c r="D623" i="13"/>
  <c r="D619" i="13"/>
  <c r="D615" i="13"/>
  <c r="D611" i="13"/>
  <c r="D607" i="13"/>
  <c r="D603" i="13"/>
  <c r="D599" i="13"/>
  <c r="D595" i="13"/>
  <c r="D591" i="13"/>
  <c r="D587" i="13"/>
  <c r="D583" i="13"/>
  <c r="D579" i="13"/>
  <c r="D575" i="13"/>
  <c r="D571" i="13"/>
  <c r="D567" i="13"/>
  <c r="D563" i="13"/>
  <c r="D559" i="13"/>
  <c r="D553" i="13"/>
  <c r="D545" i="13"/>
  <c r="D537" i="13"/>
  <c r="D529" i="13"/>
  <c r="D521" i="13"/>
  <c r="D513" i="13"/>
  <c r="D497" i="13"/>
  <c r="D481" i="13"/>
  <c r="D465" i="13"/>
  <c r="D449" i="13"/>
  <c r="D433" i="13"/>
  <c r="D417" i="13"/>
  <c r="D401" i="13"/>
  <c r="D385" i="13"/>
  <c r="C670" i="13"/>
  <c r="C654" i="13"/>
  <c r="C638" i="13"/>
  <c r="C622" i="13"/>
  <c r="C606" i="13"/>
  <c r="C576" i="13"/>
  <c r="C512" i="13"/>
  <c r="C448" i="13"/>
  <c r="C384" i="13"/>
  <c r="L47" i="13"/>
  <c r="I277" i="13"/>
  <c r="K277" i="13" s="1"/>
  <c r="K281" i="13"/>
  <c r="I271" i="13"/>
  <c r="K271" i="13" s="1"/>
  <c r="I278" i="13"/>
  <c r="J278" i="13" s="1"/>
  <c r="I282" i="13"/>
  <c r="J282" i="13" s="1"/>
  <c r="I213" i="13"/>
  <c r="K213" i="13" s="1"/>
  <c r="I220" i="13"/>
  <c r="K260" i="13"/>
  <c r="J260" i="13"/>
  <c r="I216" i="13"/>
  <c r="I224" i="13"/>
  <c r="AJ22" i="13"/>
  <c r="AM42" i="13" s="1"/>
  <c r="AJ24" i="13"/>
  <c r="AM40" i="13" s="1"/>
  <c r="AK35" i="13"/>
  <c r="AN29" i="13" s="1"/>
  <c r="AK27" i="13"/>
  <c r="AN37" i="13" s="1"/>
  <c r="AJ31" i="13"/>
  <c r="AM33" i="13" s="1"/>
  <c r="AJ27" i="13"/>
  <c r="AM37" i="13" s="1"/>
  <c r="AJ23" i="13"/>
  <c r="AM41" i="13" s="1"/>
  <c r="AJ35" i="13"/>
  <c r="AM29" i="13" s="1"/>
  <c r="AN26" i="13"/>
  <c r="AK34" i="13"/>
  <c r="AN30" i="13" s="1"/>
  <c r="AK30" i="13"/>
  <c r="AN34" i="13" s="1"/>
  <c r="AK26" i="13"/>
  <c r="AN38" i="13" s="1"/>
  <c r="AK22" i="13"/>
  <c r="AN42" i="13" s="1"/>
  <c r="I214" i="13"/>
  <c r="I223" i="13"/>
  <c r="K223" i="13" s="1"/>
  <c r="AJ36" i="13"/>
  <c r="AM28" i="13" s="1"/>
  <c r="AK23" i="13"/>
  <c r="AN41" i="13" s="1"/>
  <c r="AJ30" i="13"/>
  <c r="AM34" i="13" s="1"/>
  <c r="AJ26" i="13"/>
  <c r="AM38" i="13" s="1"/>
  <c r="AJ38" i="13"/>
  <c r="AM26" i="13" s="1"/>
  <c r="AJ34" i="13"/>
  <c r="AM30" i="13" s="1"/>
  <c r="AK37" i="13"/>
  <c r="AN27" i="13" s="1"/>
  <c r="AK33" i="13"/>
  <c r="AN31" i="13" s="1"/>
  <c r="AK29" i="13"/>
  <c r="AN35" i="13" s="1"/>
  <c r="AK25" i="13"/>
  <c r="AN39" i="13" s="1"/>
  <c r="AJ28" i="13"/>
  <c r="AM36" i="13" s="1"/>
  <c r="AJ32" i="13"/>
  <c r="AM32" i="13" s="1"/>
  <c r="AK31" i="13"/>
  <c r="AN33" i="13" s="1"/>
  <c r="AJ29" i="13"/>
  <c r="AM35" i="13" s="1"/>
  <c r="AJ25" i="13"/>
  <c r="AM39" i="13" s="1"/>
  <c r="AJ37" i="13"/>
  <c r="AM27" i="13" s="1"/>
  <c r="AJ33" i="13"/>
  <c r="AM31" i="13" s="1"/>
  <c r="AK36" i="13"/>
  <c r="AN28" i="13" s="1"/>
  <c r="AK32" i="13"/>
  <c r="AN32" i="13" s="1"/>
  <c r="AK28" i="13"/>
  <c r="AN36" i="13" s="1"/>
  <c r="E208" i="13"/>
  <c r="I219" i="13"/>
  <c r="K219" i="13" s="1"/>
  <c r="I227" i="13"/>
  <c r="K227" i="13" s="1"/>
  <c r="I221" i="13"/>
  <c r="K209" i="13"/>
  <c r="J209" i="13"/>
  <c r="I211" i="13"/>
  <c r="E207" i="13"/>
  <c r="I217" i="13"/>
  <c r="I225" i="13"/>
  <c r="I215" i="13"/>
  <c r="K253" i="13"/>
  <c r="J253" i="13"/>
  <c r="I212" i="13"/>
  <c r="I218" i="13"/>
  <c r="I222" i="13"/>
  <c r="I226" i="13"/>
  <c r="I255" i="13"/>
  <c r="K257" i="13"/>
  <c r="J257" i="13"/>
  <c r="I210" i="13"/>
  <c r="I245" i="13"/>
  <c r="I246" i="13"/>
  <c r="I247" i="13"/>
  <c r="I248" i="13"/>
  <c r="I249" i="13"/>
  <c r="I250" i="13"/>
  <c r="I251" i="13"/>
  <c r="I263" i="13"/>
  <c r="I266" i="13"/>
  <c r="I272" i="13"/>
  <c r="I259" i="13"/>
  <c r="I261" i="13"/>
  <c r="I262" i="13"/>
  <c r="I269" i="13"/>
  <c r="I252" i="13"/>
  <c r="I254" i="13"/>
  <c r="I256" i="13"/>
  <c r="I258" i="13"/>
  <c r="I265" i="13"/>
  <c r="I267" i="13"/>
  <c r="I270" i="13"/>
  <c r="I275" i="13"/>
  <c r="I280" i="13"/>
  <c r="I283" i="13"/>
  <c r="I287" i="13"/>
  <c r="I291" i="13"/>
  <c r="I264" i="13"/>
  <c r="I268" i="13"/>
  <c r="I274" i="13"/>
  <c r="I284" i="13"/>
  <c r="I288" i="13"/>
  <c r="I273" i="13"/>
  <c r="I292" i="13"/>
  <c r="I276" i="13"/>
  <c r="I279" i="13"/>
  <c r="J281" i="13"/>
  <c r="I298" i="13"/>
  <c r="I301" i="13"/>
  <c r="I286" i="13"/>
  <c r="I290" i="13"/>
  <c r="I296" i="13"/>
  <c r="I285" i="13"/>
  <c r="I289" i="13"/>
  <c r="I293" i="13"/>
  <c r="I294" i="13"/>
  <c r="I297" i="13"/>
  <c r="I300" i="13"/>
  <c r="I295" i="13"/>
  <c r="I299" i="13"/>
  <c r="AJ19" i="13"/>
  <c r="AM20" i="13" s="1"/>
  <c r="AJ17" i="13"/>
  <c r="AM18" i="13" s="1"/>
  <c r="AJ15" i="13"/>
  <c r="AM16" i="13" s="1"/>
  <c r="AJ13" i="13"/>
  <c r="AM14" i="13" s="1"/>
  <c r="AJ11" i="13"/>
  <c r="AM12" i="13" s="1"/>
  <c r="AJ9" i="13"/>
  <c r="AM10" i="13" s="1"/>
  <c r="AJ7" i="13"/>
  <c r="AM8" i="13" s="1"/>
  <c r="AJ5" i="13"/>
  <c r="AM6" i="13" s="1"/>
  <c r="AJ3" i="13"/>
  <c r="AM4" i="13" s="1"/>
  <c r="AK20" i="13"/>
  <c r="AN21" i="13" s="1"/>
  <c r="AU21" i="13" s="1"/>
  <c r="G244" i="13" s="1"/>
  <c r="AK18" i="13"/>
  <c r="AN19" i="13" s="1"/>
  <c r="AK16" i="13"/>
  <c r="AN17" i="13" s="1"/>
  <c r="AK14" i="13"/>
  <c r="AN15" i="13" s="1"/>
  <c r="AK12" i="13"/>
  <c r="AN13" i="13" s="1"/>
  <c r="AK10" i="13"/>
  <c r="AN11" i="13" s="1"/>
  <c r="AK8" i="13"/>
  <c r="AN9" i="13" s="1"/>
  <c r="AK6" i="13"/>
  <c r="AN7" i="13" s="1"/>
  <c r="AK4" i="13"/>
  <c r="AN5" i="13" s="1"/>
  <c r="AJ20" i="13"/>
  <c r="AM21" i="13" s="1"/>
  <c r="AJ18" i="13"/>
  <c r="AM19" i="13" s="1"/>
  <c r="AJ16" i="13"/>
  <c r="AM17" i="13" s="1"/>
  <c r="AJ14" i="13"/>
  <c r="AM15" i="13" s="1"/>
  <c r="AJ12" i="13"/>
  <c r="AM13" i="13" s="1"/>
  <c r="AJ10" i="13"/>
  <c r="AM11" i="13" s="1"/>
  <c r="AJ8" i="13"/>
  <c r="AM9" i="13" s="1"/>
  <c r="AJ6" i="13"/>
  <c r="AM7" i="13" s="1"/>
  <c r="AJ4" i="13"/>
  <c r="AM5" i="13" s="1"/>
  <c r="AK19" i="13"/>
  <c r="AN20" i="13" s="1"/>
  <c r="AK17" i="13"/>
  <c r="AN18" i="13" s="1"/>
  <c r="AK15" i="13"/>
  <c r="AN16" i="13" s="1"/>
  <c r="AK13" i="13"/>
  <c r="AN14" i="13" s="1"/>
  <c r="AK11" i="13"/>
  <c r="AN12" i="13" s="1"/>
  <c r="AK9" i="13"/>
  <c r="AN10" i="13" s="1"/>
  <c r="AK7" i="13"/>
  <c r="AN8" i="13" s="1"/>
  <c r="AK5" i="13"/>
  <c r="AN6" i="13" s="1"/>
  <c r="H567" i="11"/>
  <c r="M567" i="11"/>
  <c r="L567" i="11"/>
  <c r="M566" i="11"/>
  <c r="L566" i="11"/>
  <c r="H566" i="11"/>
  <c r="L565" i="11"/>
  <c r="F566" i="11"/>
  <c r="M565" i="11"/>
  <c r="H565" i="11"/>
  <c r="M564" i="11"/>
  <c r="L564" i="11"/>
  <c r="H564" i="11"/>
  <c r="G564" i="11"/>
  <c r="M562" i="11"/>
  <c r="M563" i="11"/>
  <c r="L563" i="11"/>
  <c r="L562" i="11"/>
  <c r="H563" i="11"/>
  <c r="G563" i="11"/>
  <c r="F563" i="11"/>
  <c r="H562" i="11"/>
  <c r="F562" i="11"/>
  <c r="F561" i="11"/>
  <c r="G560" i="11"/>
  <c r="F559" i="11"/>
  <c r="F538" i="11"/>
  <c r="J143" i="11"/>
  <c r="I143" i="11"/>
  <c r="I17" i="11"/>
  <c r="I18" i="11"/>
  <c r="I19" i="11"/>
  <c r="I20" i="11"/>
  <c r="I21" i="11"/>
  <c r="I22" i="11"/>
  <c r="I23" i="11"/>
  <c r="I24" i="11"/>
  <c r="I25" i="11"/>
  <c r="I26" i="11"/>
  <c r="I27" i="11"/>
  <c r="I28" i="11"/>
  <c r="I29" i="11"/>
  <c r="I30" i="11"/>
  <c r="I31" i="11"/>
  <c r="I32" i="11"/>
  <c r="I33" i="11"/>
  <c r="I34" i="11"/>
  <c r="I35" i="11"/>
  <c r="I36" i="11"/>
  <c r="I37" i="11"/>
  <c r="I38" i="11"/>
  <c r="I39" i="11"/>
  <c r="I40" i="11"/>
  <c r="I41" i="11"/>
  <c r="I42" i="11"/>
  <c r="I43" i="11"/>
  <c r="I44" i="11"/>
  <c r="I45" i="11"/>
  <c r="I46" i="11"/>
  <c r="I47" i="11"/>
  <c r="I48" i="11"/>
  <c r="I49" i="11"/>
  <c r="I50" i="11"/>
  <c r="I51" i="11"/>
  <c r="I52" i="11"/>
  <c r="I53" i="11"/>
  <c r="I54" i="11"/>
  <c r="I55" i="11"/>
  <c r="A4" i="8"/>
  <c r="L30" i="8"/>
  <c r="M30" i="8"/>
  <c r="N30" i="8"/>
  <c r="L31" i="8"/>
  <c r="M31" i="8"/>
  <c r="N31" i="8"/>
  <c r="L32" i="8"/>
  <c r="M32" i="8"/>
  <c r="N32" i="8"/>
  <c r="L33" i="8"/>
  <c r="M33" i="8"/>
  <c r="N33" i="8"/>
  <c r="L34" i="8"/>
  <c r="M34" i="8"/>
  <c r="N34" i="8"/>
  <c r="L35" i="8"/>
  <c r="M35" i="8"/>
  <c r="N35" i="8"/>
  <c r="L36" i="8"/>
  <c r="M36" i="8"/>
  <c r="N36" i="8"/>
  <c r="L37" i="8"/>
  <c r="M37" i="8"/>
  <c r="N37" i="8"/>
  <c r="L38" i="8"/>
  <c r="M38" i="8"/>
  <c r="N38" i="8"/>
  <c r="L39" i="8"/>
  <c r="M39" i="8"/>
  <c r="N39" i="8"/>
  <c r="L40" i="8"/>
  <c r="M40" i="8"/>
  <c r="N40" i="8"/>
  <c r="L41" i="8"/>
  <c r="M41" i="8"/>
  <c r="N41" i="8"/>
  <c r="L42" i="8"/>
  <c r="M42" i="8"/>
  <c r="N42" i="8"/>
  <c r="L43" i="8"/>
  <c r="M43" i="8"/>
  <c r="N43" i="8"/>
  <c r="L44" i="8"/>
  <c r="M44" i="8"/>
  <c r="N44" i="8"/>
  <c r="L45" i="8"/>
  <c r="M45" i="8"/>
  <c r="N45" i="8"/>
  <c r="L46" i="8"/>
  <c r="M46" i="8"/>
  <c r="N46" i="8"/>
  <c r="L47" i="8"/>
  <c r="M47" i="8"/>
  <c r="N47" i="8"/>
  <c r="L48" i="8"/>
  <c r="M48" i="8"/>
  <c r="N48" i="8"/>
  <c r="L49" i="8"/>
  <c r="M49" i="8"/>
  <c r="N49" i="8"/>
  <c r="L50" i="8"/>
  <c r="M50" i="8"/>
  <c r="N50" i="8"/>
  <c r="L51" i="8"/>
  <c r="M51" i="8"/>
  <c r="N51" i="8"/>
  <c r="L52" i="8"/>
  <c r="M52" i="8"/>
  <c r="N52" i="8"/>
  <c r="L53" i="8"/>
  <c r="M53" i="8"/>
  <c r="N53" i="8"/>
  <c r="L54" i="8"/>
  <c r="M54" i="8"/>
  <c r="N54" i="8"/>
  <c r="L55" i="8"/>
  <c r="M55" i="8"/>
  <c r="N55" i="8"/>
  <c r="L13" i="8"/>
  <c r="M13" i="8"/>
  <c r="N13" i="8"/>
  <c r="L14" i="8"/>
  <c r="M14" i="8"/>
  <c r="N14" i="8"/>
  <c r="L15" i="8"/>
  <c r="M15" i="8"/>
  <c r="N15" i="8"/>
  <c r="L16" i="8"/>
  <c r="M16" i="8"/>
  <c r="N16" i="8"/>
  <c r="L17" i="8"/>
  <c r="M17" i="8"/>
  <c r="N17" i="8"/>
  <c r="L18" i="8"/>
  <c r="M18" i="8"/>
  <c r="N18" i="8"/>
  <c r="L19" i="8"/>
  <c r="M19" i="8"/>
  <c r="N19" i="8"/>
  <c r="L20" i="8"/>
  <c r="M20" i="8"/>
  <c r="N20" i="8"/>
  <c r="L21" i="8"/>
  <c r="M21" i="8"/>
  <c r="N21" i="8"/>
  <c r="L22" i="8"/>
  <c r="M22" i="8"/>
  <c r="N22" i="8"/>
  <c r="L23" i="8"/>
  <c r="M23" i="8"/>
  <c r="N23" i="8"/>
  <c r="L24" i="8"/>
  <c r="M24" i="8"/>
  <c r="N24" i="8"/>
  <c r="L25" i="8"/>
  <c r="M25" i="8"/>
  <c r="N25" i="8"/>
  <c r="L26" i="8"/>
  <c r="M26" i="8"/>
  <c r="N26" i="8"/>
  <c r="L27" i="8"/>
  <c r="M27" i="8"/>
  <c r="N27" i="8"/>
  <c r="L28" i="8"/>
  <c r="M28" i="8"/>
  <c r="N28" i="8"/>
  <c r="L29" i="8"/>
  <c r="M29" i="8"/>
  <c r="N29" i="8"/>
  <c r="L4" i="8"/>
  <c r="M4" i="8"/>
  <c r="N4" i="8"/>
  <c r="L5" i="8"/>
  <c r="M5" i="8"/>
  <c r="N5" i="8"/>
  <c r="L6" i="8"/>
  <c r="M6" i="8"/>
  <c r="N6" i="8"/>
  <c r="L7" i="8"/>
  <c r="M7" i="8"/>
  <c r="N7" i="8"/>
  <c r="L8" i="8"/>
  <c r="M8" i="8"/>
  <c r="N8" i="8"/>
  <c r="L9" i="8"/>
  <c r="M9" i="8"/>
  <c r="N9" i="8"/>
  <c r="L10" i="8"/>
  <c r="M10" i="8"/>
  <c r="N10" i="8"/>
  <c r="L11" i="8"/>
  <c r="M11" i="8"/>
  <c r="N11" i="8"/>
  <c r="L12" i="8"/>
  <c r="M12" i="8"/>
  <c r="N12" i="8"/>
  <c r="M3" i="8"/>
  <c r="N3" i="8"/>
  <c r="L3" i="8"/>
  <c r="G71" i="11"/>
  <c r="H71" i="11"/>
  <c r="G72" i="11"/>
  <c r="H72" i="11"/>
  <c r="G73" i="11"/>
  <c r="H73" i="11"/>
  <c r="G74" i="11"/>
  <c r="H74" i="11"/>
  <c r="G75" i="11"/>
  <c r="H75" i="11"/>
  <c r="G76" i="11"/>
  <c r="H76" i="11"/>
  <c r="G58" i="11"/>
  <c r="H58" i="11"/>
  <c r="G59" i="11"/>
  <c r="H59" i="11"/>
  <c r="G60" i="11"/>
  <c r="H60" i="11"/>
  <c r="AC211" i="11" s="1"/>
  <c r="AC212" i="11" s="1"/>
  <c r="V210" i="11" s="1"/>
  <c r="M210" i="11" s="1"/>
  <c r="G61" i="11"/>
  <c r="H61" i="11"/>
  <c r="G62" i="11"/>
  <c r="H62" i="11"/>
  <c r="G63" i="11"/>
  <c r="H63" i="11"/>
  <c r="G64" i="11"/>
  <c r="H64" i="11"/>
  <c r="G65" i="11"/>
  <c r="H65" i="11"/>
  <c r="G66" i="11"/>
  <c r="H66" i="11"/>
  <c r="G67" i="11"/>
  <c r="H67" i="11"/>
  <c r="G68" i="11"/>
  <c r="H68" i="11"/>
  <c r="G69" i="11"/>
  <c r="H69" i="11"/>
  <c r="G70" i="11"/>
  <c r="H70" i="11"/>
  <c r="G29" i="11"/>
  <c r="H29" i="11"/>
  <c r="G30" i="11"/>
  <c r="H30" i="11"/>
  <c r="G31" i="11"/>
  <c r="H31" i="11"/>
  <c r="G32" i="11"/>
  <c r="H32" i="11"/>
  <c r="G33" i="11"/>
  <c r="H33" i="11"/>
  <c r="G34" i="11"/>
  <c r="H34" i="11"/>
  <c r="G35" i="11"/>
  <c r="H35" i="11"/>
  <c r="G36" i="11"/>
  <c r="H36" i="11"/>
  <c r="G37" i="11"/>
  <c r="H37" i="11"/>
  <c r="G38" i="11"/>
  <c r="H38" i="11"/>
  <c r="G39" i="11"/>
  <c r="H39" i="11"/>
  <c r="G40" i="11"/>
  <c r="H40" i="11"/>
  <c r="G41" i="11"/>
  <c r="H41" i="11"/>
  <c r="G42" i="11"/>
  <c r="H42" i="11"/>
  <c r="G43" i="11"/>
  <c r="H43" i="11"/>
  <c r="G44" i="11"/>
  <c r="H44" i="11"/>
  <c r="G45" i="11"/>
  <c r="H45" i="11"/>
  <c r="G46" i="11"/>
  <c r="H46" i="11"/>
  <c r="G47" i="11"/>
  <c r="H47" i="11"/>
  <c r="G48" i="11"/>
  <c r="H48" i="11"/>
  <c r="G49" i="11"/>
  <c r="H49" i="11"/>
  <c r="G50" i="11"/>
  <c r="H50" i="11"/>
  <c r="G51" i="11"/>
  <c r="H51" i="11"/>
  <c r="G52" i="11"/>
  <c r="H52" i="11"/>
  <c r="G53" i="11"/>
  <c r="H53" i="11"/>
  <c r="G54" i="11"/>
  <c r="H54" i="11"/>
  <c r="G55" i="11"/>
  <c r="H55" i="11"/>
  <c r="G56" i="11"/>
  <c r="H56" i="11"/>
  <c r="G57" i="11"/>
  <c r="H57" i="11"/>
  <c r="G4" i="11"/>
  <c r="H4" i="11"/>
  <c r="B151" i="11" s="1"/>
  <c r="G5" i="11"/>
  <c r="H5" i="11"/>
  <c r="C152" i="11" s="1"/>
  <c r="G6" i="11"/>
  <c r="H6" i="11"/>
  <c r="G7" i="11"/>
  <c r="H7" i="11"/>
  <c r="G8" i="11"/>
  <c r="H8" i="11"/>
  <c r="G9" i="11"/>
  <c r="H9" i="11"/>
  <c r="G10" i="11"/>
  <c r="H10" i="11"/>
  <c r="G11" i="11"/>
  <c r="H11" i="11"/>
  <c r="G12" i="11"/>
  <c r="H12" i="11"/>
  <c r="G13" i="11"/>
  <c r="H13" i="11"/>
  <c r="G14" i="11"/>
  <c r="H14" i="11"/>
  <c r="G15" i="11"/>
  <c r="H15" i="11"/>
  <c r="G16" i="11"/>
  <c r="H16" i="11"/>
  <c r="B101" i="11" s="1"/>
  <c r="G17" i="11"/>
  <c r="H17" i="11"/>
  <c r="G18" i="11"/>
  <c r="H18" i="11"/>
  <c r="G19" i="11"/>
  <c r="H19" i="11"/>
  <c r="G20" i="11"/>
  <c r="H20" i="11"/>
  <c r="G21" i="11"/>
  <c r="H21" i="11"/>
  <c r="G22" i="11"/>
  <c r="H22" i="11"/>
  <c r="G23" i="11"/>
  <c r="H23" i="11"/>
  <c r="G24" i="11"/>
  <c r="H24" i="11"/>
  <c r="G25" i="11"/>
  <c r="H25" i="11"/>
  <c r="G26" i="11"/>
  <c r="H26" i="11"/>
  <c r="G27" i="11"/>
  <c r="H27" i="11"/>
  <c r="G28" i="11"/>
  <c r="H28" i="11"/>
  <c r="H3" i="11"/>
  <c r="AR10" i="16" l="1"/>
  <c r="AT10" i="16" s="1"/>
  <c r="F233" i="16" s="1"/>
  <c r="AS7" i="16"/>
  <c r="AR13" i="16"/>
  <c r="AT13" i="16"/>
  <c r="F236" i="16" s="1"/>
  <c r="K300" i="16"/>
  <c r="J300" i="16"/>
  <c r="K286" i="16"/>
  <c r="J286" i="16"/>
  <c r="J277" i="16"/>
  <c r="K277" i="16"/>
  <c r="AU5" i="16"/>
  <c r="G228" i="16" s="1"/>
  <c r="AS5" i="16"/>
  <c r="AR15" i="16"/>
  <c r="AR6" i="16"/>
  <c r="AR21" i="16"/>
  <c r="AT21" i="16"/>
  <c r="F244" i="16" s="1"/>
  <c r="AS12" i="16"/>
  <c r="AU12" i="16"/>
  <c r="G235" i="16" s="1"/>
  <c r="AS6" i="16"/>
  <c r="AU6" i="16"/>
  <c r="G229" i="16" s="1"/>
  <c r="J226" i="16"/>
  <c r="K226" i="16"/>
  <c r="K255" i="16"/>
  <c r="J255" i="16"/>
  <c r="K245" i="16"/>
  <c r="J245" i="16"/>
  <c r="J285" i="16"/>
  <c r="K285" i="16"/>
  <c r="K284" i="16"/>
  <c r="J284" i="16"/>
  <c r="K278" i="16"/>
  <c r="J278" i="16"/>
  <c r="J273" i="16"/>
  <c r="K273" i="16"/>
  <c r="K272" i="16"/>
  <c r="J272" i="16"/>
  <c r="K262" i="16"/>
  <c r="J262" i="16"/>
  <c r="K280" i="16"/>
  <c r="J280" i="16"/>
  <c r="J269" i="16"/>
  <c r="K269" i="16"/>
  <c r="K254" i="16"/>
  <c r="J254" i="16"/>
  <c r="K249" i="16"/>
  <c r="J249" i="16"/>
  <c r="K217" i="16"/>
  <c r="J217" i="16"/>
  <c r="AU8" i="16"/>
  <c r="G231" i="16" s="1"/>
  <c r="AS8" i="16"/>
  <c r="AR18" i="16"/>
  <c r="C339" i="16"/>
  <c r="C338" i="16"/>
  <c r="C337" i="16"/>
  <c r="C336" i="16"/>
  <c r="C335" i="16"/>
  <c r="C334" i="16"/>
  <c r="C333" i="16"/>
  <c r="C331" i="16"/>
  <c r="C329" i="16"/>
  <c r="C324" i="16"/>
  <c r="C322" i="16"/>
  <c r="C320" i="16"/>
  <c r="C332" i="16"/>
  <c r="C330" i="16"/>
  <c r="C327" i="16"/>
  <c r="C325" i="16"/>
  <c r="C328" i="16"/>
  <c r="C319" i="16"/>
  <c r="C326" i="16"/>
  <c r="C323" i="16"/>
  <c r="C321" i="16"/>
  <c r="C318" i="16"/>
  <c r="K288" i="16"/>
  <c r="J288" i="16"/>
  <c r="J261" i="16"/>
  <c r="K261" i="16"/>
  <c r="K219" i="16"/>
  <c r="J219" i="16"/>
  <c r="K209" i="16"/>
  <c r="J209" i="16"/>
  <c r="V6" i="16"/>
  <c r="B18" i="16" s="1"/>
  <c r="A22" i="16"/>
  <c r="A23" i="16" s="1"/>
  <c r="A24" i="16" s="1"/>
  <c r="A25" i="16" s="1"/>
  <c r="A26" i="16" s="1"/>
  <c r="A27" i="16" s="1"/>
  <c r="A28" i="16" s="1"/>
  <c r="A29" i="16" s="1"/>
  <c r="A30" i="16" s="1"/>
  <c r="A31" i="16" s="1"/>
  <c r="K208" i="16"/>
  <c r="J208" i="16"/>
  <c r="AT17" i="16"/>
  <c r="F240" i="16" s="1"/>
  <c r="J218" i="16"/>
  <c r="K218" i="16"/>
  <c r="K214" i="16"/>
  <c r="J214" i="16"/>
  <c r="K298" i="16"/>
  <c r="J298" i="16"/>
  <c r="K274" i="16"/>
  <c r="J274" i="16"/>
  <c r="K259" i="16"/>
  <c r="J259" i="16"/>
  <c r="J293" i="16"/>
  <c r="K293" i="16"/>
  <c r="K276" i="16"/>
  <c r="J276" i="16"/>
  <c r="J221" i="16"/>
  <c r="K221" i="16"/>
  <c r="AU17" i="16"/>
  <c r="G240" i="16" s="1"/>
  <c r="AS17" i="16"/>
  <c r="AW17" i="16" s="1"/>
  <c r="M240" i="16" s="1"/>
  <c r="AU18" i="16"/>
  <c r="G241" i="16" s="1"/>
  <c r="AS18" i="16"/>
  <c r="AR9" i="16"/>
  <c r="AT9" i="16" s="1"/>
  <c r="F232" i="16" s="1"/>
  <c r="AU19" i="16"/>
  <c r="G242" i="16" s="1"/>
  <c r="C361" i="16"/>
  <c r="C359" i="16"/>
  <c r="C357" i="16"/>
  <c r="C355" i="16"/>
  <c r="C354" i="16"/>
  <c r="C353" i="16"/>
  <c r="C352" i="16"/>
  <c r="C351" i="16"/>
  <c r="C350" i="16"/>
  <c r="C349" i="16"/>
  <c r="C348" i="16"/>
  <c r="C347" i="16"/>
  <c r="C346" i="16"/>
  <c r="C345" i="16"/>
  <c r="C344" i="16"/>
  <c r="C343" i="16"/>
  <c r="C342" i="16"/>
  <c r="C341" i="16"/>
  <c r="C340" i="16"/>
  <c r="C360" i="16"/>
  <c r="C358" i="16"/>
  <c r="C356" i="16"/>
  <c r="AS16" i="16"/>
  <c r="AU16" i="16"/>
  <c r="G239" i="16" s="1"/>
  <c r="AS9" i="16"/>
  <c r="AU9" i="16"/>
  <c r="G232" i="16" s="1"/>
  <c r="K360" i="16"/>
  <c r="K358" i="16"/>
  <c r="K356" i="16"/>
  <c r="K319" i="16"/>
  <c r="K318" i="16"/>
  <c r="K361" i="16"/>
  <c r="K359" i="16"/>
  <c r="K357" i="16"/>
  <c r="K355" i="16"/>
  <c r="K354" i="16"/>
  <c r="K353" i="16"/>
  <c r="K352" i="16"/>
  <c r="K351" i="16"/>
  <c r="K350" i="16"/>
  <c r="K349" i="16"/>
  <c r="K348" i="16"/>
  <c r="K347" i="16"/>
  <c r="K346" i="16"/>
  <c r="K345" i="16"/>
  <c r="K344" i="16"/>
  <c r="K343" i="16"/>
  <c r="K342" i="16"/>
  <c r="K341" i="16"/>
  <c r="K340" i="16"/>
  <c r="K294" i="16"/>
  <c r="J294" i="16"/>
  <c r="K266" i="16"/>
  <c r="J266" i="16"/>
  <c r="K260" i="16"/>
  <c r="J260" i="16"/>
  <c r="K251" i="16"/>
  <c r="J251" i="16"/>
  <c r="J265" i="16"/>
  <c r="K265" i="16"/>
  <c r="K264" i="16"/>
  <c r="J264" i="16"/>
  <c r="K296" i="16"/>
  <c r="J296" i="16"/>
  <c r="K290" i="16"/>
  <c r="J290" i="16"/>
  <c r="J215" i="16"/>
  <c r="K215" i="16"/>
  <c r="AR20" i="16"/>
  <c r="AT20" i="16" s="1"/>
  <c r="F243" i="16" s="1"/>
  <c r="AU15" i="16"/>
  <c r="G238" i="16" s="1"/>
  <c r="AS15" i="16"/>
  <c r="AR8" i="16"/>
  <c r="K253" i="16"/>
  <c r="J253" i="16"/>
  <c r="J248" i="16"/>
  <c r="K248" i="16"/>
  <c r="AU20" i="16"/>
  <c r="G243" i="16" s="1"/>
  <c r="AS21" i="16"/>
  <c r="AS20" i="16"/>
  <c r="AR14" i="16"/>
  <c r="AT14" i="16" s="1"/>
  <c r="F237" i="16" s="1"/>
  <c r="AR11" i="16"/>
  <c r="AT11" i="16" s="1"/>
  <c r="F234" i="16" s="1"/>
  <c r="J289" i="16"/>
  <c r="K289" i="16"/>
  <c r="K257" i="16"/>
  <c r="J257" i="16"/>
  <c r="J252" i="16"/>
  <c r="K252" i="16"/>
  <c r="K223" i="16"/>
  <c r="J223" i="16"/>
  <c r="K213" i="16"/>
  <c r="J213" i="16"/>
  <c r="AR19" i="16"/>
  <c r="AR12" i="16"/>
  <c r="AT12" i="16" s="1"/>
  <c r="F235" i="16" s="1"/>
  <c r="H230" i="16"/>
  <c r="AW7" i="16"/>
  <c r="M230" i="16" s="1"/>
  <c r="AV7" i="16"/>
  <c r="L230" i="16" s="1"/>
  <c r="AR5" i="16"/>
  <c r="AT5" i="16" s="1"/>
  <c r="F228" i="16" s="1"/>
  <c r="J281" i="16"/>
  <c r="K281" i="16"/>
  <c r="K210" i="16"/>
  <c r="J210" i="16"/>
  <c r="K220" i="16"/>
  <c r="J220" i="16"/>
  <c r="AT7" i="16"/>
  <c r="F230" i="16" s="1"/>
  <c r="J222" i="16"/>
  <c r="K222" i="16"/>
  <c r="J299" i="16"/>
  <c r="K299" i="16"/>
  <c r="K292" i="16"/>
  <c r="J292" i="16"/>
  <c r="K282" i="16"/>
  <c r="J282" i="16"/>
  <c r="AU13" i="16"/>
  <c r="G236" i="16" s="1"/>
  <c r="AS13" i="16"/>
  <c r="AU11" i="16"/>
  <c r="G234" i="16" s="1"/>
  <c r="AS11" i="16"/>
  <c r="K247" i="16"/>
  <c r="J247" i="16"/>
  <c r="K270" i="16"/>
  <c r="J270" i="16"/>
  <c r="J225" i="16"/>
  <c r="K225" i="16"/>
  <c r="J211" i="16"/>
  <c r="K211" i="16"/>
  <c r="AU14" i="16"/>
  <c r="G237" i="16" s="1"/>
  <c r="AS14" i="16"/>
  <c r="AU10" i="16"/>
  <c r="G233" i="16" s="1"/>
  <c r="AS10" i="16"/>
  <c r="AV10" i="16" s="1"/>
  <c r="L233" i="16" s="1"/>
  <c r="J256" i="16"/>
  <c r="K256" i="16"/>
  <c r="K268" i="16"/>
  <c r="J268" i="16"/>
  <c r="AR16" i="16"/>
  <c r="K227" i="16"/>
  <c r="J227" i="16"/>
  <c r="K224" i="16"/>
  <c r="J224" i="16"/>
  <c r="J212" i="16"/>
  <c r="K212" i="16"/>
  <c r="B320" i="16"/>
  <c r="N334" i="16"/>
  <c r="J219" i="13"/>
  <c r="J213" i="13"/>
  <c r="AR21" i="13"/>
  <c r="K282" i="13"/>
  <c r="J223" i="13"/>
  <c r="C335" i="13"/>
  <c r="C322" i="13"/>
  <c r="D322" i="13" s="1"/>
  <c r="C326" i="13"/>
  <c r="D326" i="13" s="1"/>
  <c r="C330" i="13"/>
  <c r="D330" i="13" s="1"/>
  <c r="C334" i="13"/>
  <c r="D334" i="13" s="1"/>
  <c r="C336" i="13"/>
  <c r="C319" i="13"/>
  <c r="C323" i="13"/>
  <c r="C327" i="13"/>
  <c r="C331" i="13"/>
  <c r="C337" i="13"/>
  <c r="C320" i="13"/>
  <c r="C324" i="13"/>
  <c r="C328" i="13"/>
  <c r="C332" i="13"/>
  <c r="C318" i="13"/>
  <c r="D318" i="13" s="1"/>
  <c r="C329" i="13"/>
  <c r="C338" i="13"/>
  <c r="D338" i="13" s="1"/>
  <c r="C333" i="13"/>
  <c r="C321" i="13"/>
  <c r="C325" i="13"/>
  <c r="J277" i="13"/>
  <c r="K319" i="13"/>
  <c r="K323" i="13"/>
  <c r="K320" i="13"/>
  <c r="K324" i="13"/>
  <c r="K318" i="13"/>
  <c r="K321" i="13"/>
  <c r="K325" i="13"/>
  <c r="K322" i="13"/>
  <c r="K326" i="13"/>
  <c r="J227" i="13"/>
  <c r="B327" i="13"/>
  <c r="K327" i="13" s="1"/>
  <c r="J271" i="13"/>
  <c r="K278" i="13"/>
  <c r="AU20" i="13"/>
  <c r="G243" i="13" s="1"/>
  <c r="AS21" i="13"/>
  <c r="AW21" i="13" s="1"/>
  <c r="M244" i="13" s="1"/>
  <c r="AS20" i="13"/>
  <c r="AR19" i="13"/>
  <c r="AT19" i="13" s="1"/>
  <c r="F242" i="13" s="1"/>
  <c r="AU9" i="13"/>
  <c r="G232" i="13" s="1"/>
  <c r="AS9" i="13"/>
  <c r="AR14" i="13"/>
  <c r="AT14" i="13" s="1"/>
  <c r="F237" i="13" s="1"/>
  <c r="AU6" i="13"/>
  <c r="G229" i="13" s="1"/>
  <c r="AS6" i="13"/>
  <c r="AS14" i="13"/>
  <c r="AU14" i="13"/>
  <c r="G237" i="13" s="1"/>
  <c r="AR5" i="13"/>
  <c r="AR13" i="13"/>
  <c r="AT13" i="13" s="1"/>
  <c r="F236" i="13" s="1"/>
  <c r="AU11" i="13"/>
  <c r="G234" i="13" s="1"/>
  <c r="AS11" i="13"/>
  <c r="AR8" i="13"/>
  <c r="AT8" i="13" s="1"/>
  <c r="F231" i="13" s="1"/>
  <c r="AU8" i="13"/>
  <c r="G231" i="13" s="1"/>
  <c r="AS8" i="13"/>
  <c r="AU16" i="13"/>
  <c r="G239" i="13" s="1"/>
  <c r="AS16" i="13"/>
  <c r="AR7" i="13"/>
  <c r="AT7" i="13" s="1"/>
  <c r="F230" i="13" s="1"/>
  <c r="AR15" i="13"/>
  <c r="AT15" i="13" s="1"/>
  <c r="F238" i="13" s="1"/>
  <c r="AS5" i="13"/>
  <c r="AU5" i="13"/>
  <c r="G228" i="13" s="1"/>
  <c r="AU13" i="13"/>
  <c r="G236" i="13" s="1"/>
  <c r="AS13" i="13"/>
  <c r="AR10" i="13"/>
  <c r="AR18" i="13"/>
  <c r="AT18" i="13" s="1"/>
  <c r="F241" i="13" s="1"/>
  <c r="AU12" i="13"/>
  <c r="G235" i="13" s="1"/>
  <c r="AS12" i="13"/>
  <c r="AR11" i="13"/>
  <c r="AT11" i="13" s="1"/>
  <c r="F234" i="13" s="1"/>
  <c r="AU17" i="13"/>
  <c r="G240" i="13" s="1"/>
  <c r="AS17" i="13"/>
  <c r="AR6" i="13"/>
  <c r="AT6" i="13" s="1"/>
  <c r="F229" i="13" s="1"/>
  <c r="AV21" i="13"/>
  <c r="L244" i="13" s="1"/>
  <c r="AU19" i="13"/>
  <c r="G242" i="13" s="1"/>
  <c r="AS19" i="13"/>
  <c r="AR16" i="13"/>
  <c r="AT16" i="13" s="1"/>
  <c r="F239" i="13" s="1"/>
  <c r="AU10" i="13"/>
  <c r="G233" i="13" s="1"/>
  <c r="AS10" i="13"/>
  <c r="AU18" i="13"/>
  <c r="G241" i="13" s="1"/>
  <c r="AS18" i="13"/>
  <c r="AR9" i="13"/>
  <c r="AR17" i="13"/>
  <c r="AT17" i="13" s="1"/>
  <c r="F240" i="13" s="1"/>
  <c r="AS7" i="13"/>
  <c r="AU7" i="13"/>
  <c r="G230" i="13" s="1"/>
  <c r="AS15" i="13"/>
  <c r="AU15" i="13"/>
  <c r="G238" i="13" s="1"/>
  <c r="AR12" i="13"/>
  <c r="AR20" i="13"/>
  <c r="AT21" i="13"/>
  <c r="F244" i="13" s="1"/>
  <c r="K220" i="13"/>
  <c r="J220" i="13"/>
  <c r="I208" i="13"/>
  <c r="J208" i="13" s="1"/>
  <c r="K224" i="13"/>
  <c r="J224" i="13"/>
  <c r="K216" i="13"/>
  <c r="J216" i="13"/>
  <c r="K214" i="13"/>
  <c r="J214" i="13"/>
  <c r="J295" i="13"/>
  <c r="K295" i="13"/>
  <c r="K300" i="13"/>
  <c r="J300" i="13"/>
  <c r="K289" i="13"/>
  <c r="J289" i="13"/>
  <c r="K296" i="13"/>
  <c r="J296" i="13"/>
  <c r="J286" i="13"/>
  <c r="K286" i="13"/>
  <c r="K284" i="13"/>
  <c r="J284" i="13"/>
  <c r="K274" i="13"/>
  <c r="J274" i="13"/>
  <c r="K291" i="13"/>
  <c r="J291" i="13"/>
  <c r="K258" i="13"/>
  <c r="J258" i="13"/>
  <c r="K266" i="13"/>
  <c r="J266" i="13"/>
  <c r="K263" i="13"/>
  <c r="J263" i="13"/>
  <c r="K249" i="13"/>
  <c r="J249" i="13"/>
  <c r="K245" i="13"/>
  <c r="J245" i="13"/>
  <c r="K212" i="13"/>
  <c r="J212" i="13"/>
  <c r="J225" i="13"/>
  <c r="K225" i="13"/>
  <c r="J217" i="13"/>
  <c r="K217" i="13"/>
  <c r="I207" i="13"/>
  <c r="J221" i="13"/>
  <c r="K221" i="13"/>
  <c r="K294" i="13"/>
  <c r="J294" i="13"/>
  <c r="K285" i="13"/>
  <c r="J285" i="13"/>
  <c r="K301" i="13"/>
  <c r="J301" i="13"/>
  <c r="K276" i="13"/>
  <c r="J276" i="13"/>
  <c r="K273" i="13"/>
  <c r="J273" i="13"/>
  <c r="K287" i="13"/>
  <c r="J287" i="13"/>
  <c r="K280" i="13"/>
  <c r="J280" i="13"/>
  <c r="J275" i="13"/>
  <c r="K275" i="13"/>
  <c r="K267" i="13"/>
  <c r="J267" i="13"/>
  <c r="J265" i="13"/>
  <c r="K265" i="13"/>
  <c r="K256" i="13"/>
  <c r="J256" i="13"/>
  <c r="K259" i="13"/>
  <c r="J259" i="13"/>
  <c r="K248" i="13"/>
  <c r="J248" i="13"/>
  <c r="K255" i="13"/>
  <c r="J255" i="13"/>
  <c r="J215" i="13"/>
  <c r="K215" i="13"/>
  <c r="K293" i="13"/>
  <c r="J293" i="13"/>
  <c r="J290" i="13"/>
  <c r="K290" i="13"/>
  <c r="K279" i="13"/>
  <c r="J279" i="13"/>
  <c r="K288" i="13"/>
  <c r="J288" i="13"/>
  <c r="K268" i="13"/>
  <c r="J268" i="13"/>
  <c r="K283" i="13"/>
  <c r="J283" i="13"/>
  <c r="K270" i="13"/>
  <c r="J270" i="13"/>
  <c r="K254" i="13"/>
  <c r="J254" i="13"/>
  <c r="K269" i="13"/>
  <c r="J269" i="13"/>
  <c r="K262" i="13"/>
  <c r="J262" i="13"/>
  <c r="K272" i="13"/>
  <c r="J272" i="13"/>
  <c r="K251" i="13"/>
  <c r="J251" i="13"/>
  <c r="K247" i="13"/>
  <c r="J247" i="13"/>
  <c r="J299" i="13"/>
  <c r="K299" i="13"/>
  <c r="K297" i="13"/>
  <c r="J297" i="13"/>
  <c r="K298" i="13"/>
  <c r="J298" i="13"/>
  <c r="K292" i="13"/>
  <c r="J292" i="13"/>
  <c r="K264" i="13"/>
  <c r="J264" i="13"/>
  <c r="K252" i="13"/>
  <c r="J252" i="13"/>
  <c r="K261" i="13"/>
  <c r="J261" i="13"/>
  <c r="K250" i="13"/>
  <c r="J250" i="13"/>
  <c r="K246" i="13"/>
  <c r="J246" i="13"/>
  <c r="K210" i="13"/>
  <c r="J210" i="13"/>
  <c r="K226" i="13"/>
  <c r="J226" i="13"/>
  <c r="K222" i="13"/>
  <c r="J222" i="13"/>
  <c r="K218" i="13"/>
  <c r="J218" i="13"/>
  <c r="J211" i="13"/>
  <c r="K211" i="13"/>
  <c r="P515" i="11"/>
  <c r="Q515" i="11"/>
  <c r="R515" i="11"/>
  <c r="S515" i="11"/>
  <c r="T515" i="11"/>
  <c r="U515" i="11"/>
  <c r="V515" i="11"/>
  <c r="W515" i="11"/>
  <c r="X515" i="11"/>
  <c r="Y515" i="11"/>
  <c r="Z515" i="11"/>
  <c r="AA515" i="11"/>
  <c r="P516" i="11"/>
  <c r="R516" i="11"/>
  <c r="T516" i="11"/>
  <c r="U516" i="11"/>
  <c r="V516" i="11"/>
  <c r="W516" i="11"/>
  <c r="X516" i="11"/>
  <c r="Y516" i="11"/>
  <c r="Z516" i="11"/>
  <c r="AA516" i="11"/>
  <c r="P517" i="11"/>
  <c r="Q517" i="11"/>
  <c r="S517" i="11"/>
  <c r="T517" i="11"/>
  <c r="U517" i="11"/>
  <c r="V517" i="11"/>
  <c r="W517" i="11"/>
  <c r="X517" i="11"/>
  <c r="Y517" i="11"/>
  <c r="Z517" i="11"/>
  <c r="AA517" i="11"/>
  <c r="P518" i="11"/>
  <c r="Q518" i="11"/>
  <c r="R518" i="11"/>
  <c r="S518" i="11"/>
  <c r="T518" i="11"/>
  <c r="U518" i="11"/>
  <c r="V518" i="11"/>
  <c r="W518" i="11"/>
  <c r="X518" i="11"/>
  <c r="Y518" i="11"/>
  <c r="Z518" i="11"/>
  <c r="AA518" i="11"/>
  <c r="P519" i="11"/>
  <c r="Q519" i="11"/>
  <c r="R519" i="11"/>
  <c r="S519" i="11"/>
  <c r="T519" i="11"/>
  <c r="U519" i="11"/>
  <c r="V519" i="11"/>
  <c r="W519" i="11"/>
  <c r="X519" i="11"/>
  <c r="Y519" i="11"/>
  <c r="Z519" i="11"/>
  <c r="AA519" i="11"/>
  <c r="P520" i="11"/>
  <c r="Q520" i="11"/>
  <c r="R520" i="11"/>
  <c r="S520" i="11"/>
  <c r="T520" i="11"/>
  <c r="U520" i="11"/>
  <c r="V520" i="11"/>
  <c r="W520" i="11"/>
  <c r="X520" i="11"/>
  <c r="Y520" i="11"/>
  <c r="Z520" i="11"/>
  <c r="AA520" i="11"/>
  <c r="P521" i="11"/>
  <c r="S521" i="11"/>
  <c r="T521" i="11"/>
  <c r="U521" i="11"/>
  <c r="V521" i="11"/>
  <c r="W521" i="11"/>
  <c r="X521" i="11"/>
  <c r="Y521" i="11"/>
  <c r="Z521" i="11"/>
  <c r="AA521" i="11"/>
  <c r="P522" i="11"/>
  <c r="S522" i="11"/>
  <c r="T522" i="11"/>
  <c r="U522" i="11"/>
  <c r="V522" i="11"/>
  <c r="W522" i="11"/>
  <c r="X522" i="11"/>
  <c r="Y522" i="11"/>
  <c r="Z522" i="11"/>
  <c r="AA522" i="11"/>
  <c r="P523" i="11"/>
  <c r="Q523" i="11"/>
  <c r="R523" i="11"/>
  <c r="S523" i="11"/>
  <c r="T523" i="11"/>
  <c r="U523" i="11"/>
  <c r="V523" i="11"/>
  <c r="W523" i="11"/>
  <c r="X523" i="11"/>
  <c r="Y523" i="11"/>
  <c r="Z523" i="11"/>
  <c r="AA523" i="11"/>
  <c r="P524" i="11"/>
  <c r="Q524" i="11"/>
  <c r="R524" i="11"/>
  <c r="S524" i="11"/>
  <c r="T524" i="11"/>
  <c r="U524" i="11"/>
  <c r="V524" i="11"/>
  <c r="W524" i="11"/>
  <c r="X524" i="11"/>
  <c r="Y524" i="11"/>
  <c r="Z524" i="11"/>
  <c r="AA524" i="11"/>
  <c r="P525" i="11"/>
  <c r="R525" i="11"/>
  <c r="S525" i="11"/>
  <c r="T525" i="11"/>
  <c r="U525" i="11"/>
  <c r="V525" i="11"/>
  <c r="W525" i="11"/>
  <c r="X525" i="11"/>
  <c r="Y525" i="11"/>
  <c r="Z525" i="11"/>
  <c r="AA525" i="11"/>
  <c r="P526" i="11"/>
  <c r="Q526" i="11"/>
  <c r="S526" i="11"/>
  <c r="T526" i="11"/>
  <c r="U526" i="11"/>
  <c r="V526" i="11"/>
  <c r="W526" i="11"/>
  <c r="X526" i="11"/>
  <c r="Y526" i="11"/>
  <c r="Z526" i="11"/>
  <c r="AA526" i="11"/>
  <c r="Q514" i="11"/>
  <c r="R514" i="11"/>
  <c r="S514" i="11"/>
  <c r="T514" i="11"/>
  <c r="U514" i="11"/>
  <c r="V514" i="11"/>
  <c r="W514" i="11"/>
  <c r="X514" i="11"/>
  <c r="Y514" i="11"/>
  <c r="Z514" i="11"/>
  <c r="AA514" i="11"/>
  <c r="P514" i="11"/>
  <c r="C148" i="11"/>
  <c r="R522" i="11" s="1"/>
  <c r="C147" i="11"/>
  <c r="R521" i="11" s="1"/>
  <c r="B148" i="11"/>
  <c r="Q522" i="11" s="1"/>
  <c r="B147" i="11"/>
  <c r="Q521" i="11" s="1"/>
  <c r="D340" i="16" l="1"/>
  <c r="D352" i="16"/>
  <c r="AV15" i="16"/>
  <c r="L238" i="16" s="1"/>
  <c r="H238" i="16"/>
  <c r="AW15" i="16"/>
  <c r="M238" i="16" s="1"/>
  <c r="B321" i="16"/>
  <c r="N335" i="16"/>
  <c r="AW12" i="16"/>
  <c r="M235" i="16" s="1"/>
  <c r="AV12" i="16"/>
  <c r="L235" i="16" s="1"/>
  <c r="H235" i="16"/>
  <c r="H231" i="16"/>
  <c r="AV8" i="16"/>
  <c r="L231" i="16" s="1"/>
  <c r="AW8" i="16"/>
  <c r="M231" i="16" s="1"/>
  <c r="K320" i="16"/>
  <c r="D356" i="16"/>
  <c r="D341" i="16"/>
  <c r="D345" i="16"/>
  <c r="D349" i="16"/>
  <c r="D353" i="16"/>
  <c r="D359" i="16"/>
  <c r="AW9" i="16"/>
  <c r="M232" i="16" s="1"/>
  <c r="AV9" i="16"/>
  <c r="L232" i="16" s="1"/>
  <c r="H232" i="16"/>
  <c r="H240" i="16"/>
  <c r="D321" i="16"/>
  <c r="D328" i="16"/>
  <c r="D332" i="16"/>
  <c r="D329" i="16"/>
  <c r="D335" i="16"/>
  <c r="D339" i="16"/>
  <c r="AV21" i="16"/>
  <c r="L244" i="16" s="1"/>
  <c r="AW21" i="16"/>
  <c r="M244" i="16" s="1"/>
  <c r="H244" i="16"/>
  <c r="AT15" i="16"/>
  <c r="F238" i="16" s="1"/>
  <c r="H233" i="16"/>
  <c r="D344" i="16"/>
  <c r="D357" i="16"/>
  <c r="AV17" i="16"/>
  <c r="L240" i="16" s="1"/>
  <c r="D319" i="16"/>
  <c r="D324" i="16"/>
  <c r="D338" i="16"/>
  <c r="H239" i="16"/>
  <c r="AW16" i="16"/>
  <c r="M239" i="16" s="1"/>
  <c r="AV16" i="16"/>
  <c r="L239" i="16" s="1"/>
  <c r="AV13" i="16"/>
  <c r="L236" i="16" s="1"/>
  <c r="H236" i="16"/>
  <c r="AW13" i="16"/>
  <c r="M236" i="16" s="1"/>
  <c r="AW10" i="16"/>
  <c r="M233" i="16" s="1"/>
  <c r="H242" i="16"/>
  <c r="AW19" i="16"/>
  <c r="M242" i="16" s="1"/>
  <c r="AV19" i="16"/>
  <c r="L242" i="16" s="1"/>
  <c r="AT8" i="16"/>
  <c r="F231" i="16" s="1"/>
  <c r="H243" i="16"/>
  <c r="AV20" i="16"/>
  <c r="L243" i="16" s="1"/>
  <c r="AW20" i="16"/>
  <c r="M243" i="16" s="1"/>
  <c r="D358" i="16"/>
  <c r="D342" i="16"/>
  <c r="D346" i="16"/>
  <c r="D350" i="16"/>
  <c r="D354" i="16"/>
  <c r="D361" i="16"/>
  <c r="D323" i="16"/>
  <c r="D325" i="16"/>
  <c r="D320" i="16"/>
  <c r="D331" i="16"/>
  <c r="D336" i="16"/>
  <c r="AW6" i="16"/>
  <c r="M229" i="16" s="1"/>
  <c r="AV6" i="16"/>
  <c r="L229" i="16" s="1"/>
  <c r="H229" i="16"/>
  <c r="B11" i="16"/>
  <c r="H237" i="16"/>
  <c r="AV14" i="16"/>
  <c r="L237" i="16" s="1"/>
  <c r="AW14" i="16"/>
  <c r="M237" i="16" s="1"/>
  <c r="D348" i="16"/>
  <c r="D318" i="16"/>
  <c r="D330" i="16"/>
  <c r="D334" i="16"/>
  <c r="H241" i="16"/>
  <c r="AV18" i="16"/>
  <c r="L241" i="16" s="1"/>
  <c r="AW18" i="16"/>
  <c r="M241" i="16" s="1"/>
  <c r="AT16" i="16"/>
  <c r="F239" i="16" s="1"/>
  <c r="H228" i="16"/>
  <c r="AV5" i="16"/>
  <c r="L228" i="16" s="1"/>
  <c r="AW5" i="16"/>
  <c r="M228" i="16" s="1"/>
  <c r="I230" i="16"/>
  <c r="AT19" i="16"/>
  <c r="F242" i="16" s="1"/>
  <c r="AV11" i="16"/>
  <c r="L234" i="16" s="1"/>
  <c r="AW11" i="16"/>
  <c r="M234" i="16" s="1"/>
  <c r="H234" i="16"/>
  <c r="D360" i="16"/>
  <c r="D343" i="16"/>
  <c r="D347" i="16"/>
  <c r="D351" i="16"/>
  <c r="D355" i="16"/>
  <c r="B31" i="16"/>
  <c r="B27" i="16"/>
  <c r="B25" i="16"/>
  <c r="B28" i="16"/>
  <c r="B30" i="16"/>
  <c r="B26" i="16"/>
  <c r="B22" i="16"/>
  <c r="B24" i="16"/>
  <c r="B29" i="16"/>
  <c r="B23" i="16"/>
  <c r="B21" i="16"/>
  <c r="D326" i="16"/>
  <c r="D327" i="16"/>
  <c r="D322" i="16"/>
  <c r="D333" i="16"/>
  <c r="D337" i="16"/>
  <c r="AT18" i="16"/>
  <c r="F241" i="16" s="1"/>
  <c r="AT6" i="16"/>
  <c r="F229" i="16" s="1"/>
  <c r="K208" i="13"/>
  <c r="H244" i="13"/>
  <c r="I244" i="13" s="1"/>
  <c r="K244" i="13" s="1"/>
  <c r="D323" i="13"/>
  <c r="D335" i="13"/>
  <c r="D333" i="13"/>
  <c r="D332" i="13"/>
  <c r="D337" i="13"/>
  <c r="D319" i="13"/>
  <c r="D321" i="13"/>
  <c r="D328" i="13"/>
  <c r="D331" i="13"/>
  <c r="D336" i="13"/>
  <c r="D320" i="13"/>
  <c r="D325" i="13"/>
  <c r="D329" i="13"/>
  <c r="D324" i="13"/>
  <c r="D327" i="13"/>
  <c r="D339" i="13"/>
  <c r="B328" i="13"/>
  <c r="K328" i="13" s="1"/>
  <c r="AV12" i="13"/>
  <c r="L235" i="13" s="1"/>
  <c r="H235" i="13"/>
  <c r="I235" i="13" s="1"/>
  <c r="AW12" i="13"/>
  <c r="M235" i="13" s="1"/>
  <c r="H228" i="13"/>
  <c r="I228" i="13" s="1"/>
  <c r="AW5" i="13"/>
  <c r="M228" i="13" s="1"/>
  <c r="AV5" i="13"/>
  <c r="L228" i="13" s="1"/>
  <c r="AV20" i="13"/>
  <c r="L243" i="13" s="1"/>
  <c r="H243" i="13"/>
  <c r="I243" i="13" s="1"/>
  <c r="AW20" i="13"/>
  <c r="M243" i="13" s="1"/>
  <c r="AT12" i="13"/>
  <c r="F235" i="13" s="1"/>
  <c r="AV8" i="13"/>
  <c r="L231" i="13" s="1"/>
  <c r="H231" i="13"/>
  <c r="I231" i="13" s="1"/>
  <c r="AW8" i="13"/>
  <c r="M231" i="13" s="1"/>
  <c r="H236" i="13"/>
  <c r="I236" i="13" s="1"/>
  <c r="AV13" i="13"/>
  <c r="L236" i="13" s="1"/>
  <c r="AW13" i="13"/>
  <c r="M236" i="13" s="1"/>
  <c r="AT20" i="13"/>
  <c r="F243" i="13" s="1"/>
  <c r="H240" i="13"/>
  <c r="I240" i="13" s="1"/>
  <c r="AV17" i="13"/>
  <c r="L240" i="13" s="1"/>
  <c r="AW17" i="13"/>
  <c r="M240" i="13" s="1"/>
  <c r="AV16" i="13"/>
  <c r="L239" i="13" s="1"/>
  <c r="H239" i="13"/>
  <c r="I239" i="13" s="1"/>
  <c r="AW16" i="13"/>
  <c r="M239" i="13" s="1"/>
  <c r="H233" i="13"/>
  <c r="I233" i="13" s="1"/>
  <c r="AW10" i="13"/>
  <c r="M233" i="13" s="1"/>
  <c r="AV10" i="13"/>
  <c r="L233" i="13" s="1"/>
  <c r="H230" i="13"/>
  <c r="I230" i="13" s="1"/>
  <c r="AW7" i="13"/>
  <c r="M230" i="13" s="1"/>
  <c r="AV7" i="13"/>
  <c r="L230" i="13" s="1"/>
  <c r="AT10" i="13"/>
  <c r="F233" i="13" s="1"/>
  <c r="AT5" i="13"/>
  <c r="F228" i="13" s="1"/>
  <c r="AV9" i="13"/>
  <c r="L232" i="13" s="1"/>
  <c r="H232" i="13"/>
  <c r="I232" i="13" s="1"/>
  <c r="AW9" i="13"/>
  <c r="M232" i="13" s="1"/>
  <c r="H229" i="13"/>
  <c r="I229" i="13" s="1"/>
  <c r="AW6" i="13"/>
  <c r="M229" i="13" s="1"/>
  <c r="AV6" i="13"/>
  <c r="L229" i="13" s="1"/>
  <c r="H234" i="13"/>
  <c r="I234" i="13" s="1"/>
  <c r="AW11" i="13"/>
  <c r="M234" i="13" s="1"/>
  <c r="AV11" i="13"/>
  <c r="L234" i="13" s="1"/>
  <c r="H241" i="13"/>
  <c r="I241" i="13" s="1"/>
  <c r="AW18" i="13"/>
  <c r="M241" i="13" s="1"/>
  <c r="AV18" i="13"/>
  <c r="L241" i="13" s="1"/>
  <c r="H238" i="13"/>
  <c r="I238" i="13" s="1"/>
  <c r="AW15" i="13"/>
  <c r="M238" i="13" s="1"/>
  <c r="AV15" i="13"/>
  <c r="L238" i="13" s="1"/>
  <c r="AT9" i="13"/>
  <c r="F232" i="13" s="1"/>
  <c r="H237" i="13"/>
  <c r="I237" i="13" s="1"/>
  <c r="AW14" i="13"/>
  <c r="M237" i="13" s="1"/>
  <c r="AV14" i="13"/>
  <c r="L237" i="13" s="1"/>
  <c r="H242" i="13"/>
  <c r="I242" i="13" s="1"/>
  <c r="AW19" i="13"/>
  <c r="M242" i="13" s="1"/>
  <c r="AV19" i="13"/>
  <c r="L242" i="13" s="1"/>
  <c r="J207" i="13"/>
  <c r="K207" i="13"/>
  <c r="I5" i="14"/>
  <c r="I3" i="14"/>
  <c r="I4" i="14" s="1"/>
  <c r="D2" i="14"/>
  <c r="D3" i="14"/>
  <c r="I241" i="16" l="1"/>
  <c r="I238" i="16"/>
  <c r="I228" i="16"/>
  <c r="I237" i="16"/>
  <c r="I229" i="16"/>
  <c r="I243" i="16"/>
  <c r="I244" i="16"/>
  <c r="W6" i="16"/>
  <c r="D28" i="16" s="1"/>
  <c r="E28" i="16" s="1"/>
  <c r="E14" i="16"/>
  <c r="F15" i="16" s="1"/>
  <c r="B14" i="16"/>
  <c r="E15" i="16" s="1"/>
  <c r="D364" i="16"/>
  <c r="D22" i="16"/>
  <c r="E22" i="16" s="1"/>
  <c r="I242" i="16"/>
  <c r="I236" i="16"/>
  <c r="I239" i="16"/>
  <c r="I232" i="16"/>
  <c r="I231" i="16"/>
  <c r="B322" i="16"/>
  <c r="N336" i="16"/>
  <c r="K321" i="16"/>
  <c r="I240" i="16"/>
  <c r="I234" i="16"/>
  <c r="K230" i="16"/>
  <c r="J230" i="16"/>
  <c r="R325" i="16"/>
  <c r="I233" i="16"/>
  <c r="I235" i="16"/>
  <c r="I304" i="13"/>
  <c r="J244" i="13"/>
  <c r="B329" i="13"/>
  <c r="K329" i="13" s="1"/>
  <c r="K237" i="13"/>
  <c r="J237" i="13"/>
  <c r="J238" i="13"/>
  <c r="K238" i="13"/>
  <c r="J233" i="13"/>
  <c r="K233" i="13"/>
  <c r="J231" i="13"/>
  <c r="K231" i="13"/>
  <c r="K243" i="13"/>
  <c r="J243" i="13"/>
  <c r="J228" i="13"/>
  <c r="K228" i="13"/>
  <c r="K242" i="13"/>
  <c r="J242" i="13"/>
  <c r="J229" i="13"/>
  <c r="K229" i="13"/>
  <c r="J230" i="13"/>
  <c r="K230" i="13"/>
  <c r="J234" i="13"/>
  <c r="K234" i="13"/>
  <c r="K239" i="13"/>
  <c r="J239" i="13"/>
  <c r="K240" i="13"/>
  <c r="J240" i="13"/>
  <c r="K236" i="13"/>
  <c r="J236" i="13"/>
  <c r="K235" i="13"/>
  <c r="J235" i="13"/>
  <c r="K241" i="13"/>
  <c r="J241" i="13"/>
  <c r="J232" i="13"/>
  <c r="K232" i="13"/>
  <c r="F2" i="14"/>
  <c r="F4" i="14"/>
  <c r="F6" i="14" s="1"/>
  <c r="G7" i="14"/>
  <c r="D27" i="16" l="1"/>
  <c r="E27" i="16" s="1"/>
  <c r="C23" i="16"/>
  <c r="D29" i="16"/>
  <c r="E29" i="16" s="1"/>
  <c r="K233" i="16"/>
  <c r="J233" i="16"/>
  <c r="K234" i="16"/>
  <c r="J234" i="16"/>
  <c r="D23" i="16"/>
  <c r="E23" i="16" s="1"/>
  <c r="D31" i="16"/>
  <c r="E31" i="16" s="1"/>
  <c r="K232" i="16"/>
  <c r="J232" i="16"/>
  <c r="C22" i="16"/>
  <c r="D24" i="16"/>
  <c r="E24" i="16" s="1"/>
  <c r="D30" i="16"/>
  <c r="E30" i="16" s="1"/>
  <c r="K228" i="16"/>
  <c r="J228" i="16"/>
  <c r="I304" i="16"/>
  <c r="K238" i="16"/>
  <c r="J238" i="16"/>
  <c r="K241" i="16"/>
  <c r="J241" i="16"/>
  <c r="K239" i="16"/>
  <c r="J239" i="16"/>
  <c r="C24" i="16"/>
  <c r="D26" i="16"/>
  <c r="E26" i="16" s="1"/>
  <c r="C31" i="16"/>
  <c r="K231" i="16"/>
  <c r="J231" i="16"/>
  <c r="D25" i="16"/>
  <c r="E25" i="16" s="1"/>
  <c r="C21" i="16"/>
  <c r="C30" i="16"/>
  <c r="C28" i="16"/>
  <c r="C27" i="16"/>
  <c r="K240" i="16"/>
  <c r="J240" i="16"/>
  <c r="K235" i="16"/>
  <c r="J235" i="16"/>
  <c r="C26" i="16"/>
  <c r="C29" i="16"/>
  <c r="B323" i="16"/>
  <c r="N337" i="16"/>
  <c r="K322" i="16"/>
  <c r="K236" i="16"/>
  <c r="J236" i="16"/>
  <c r="K242" i="16"/>
  <c r="J242" i="16"/>
  <c r="C25" i="16"/>
  <c r="D21" i="16"/>
  <c r="E21" i="16" s="1"/>
  <c r="K244" i="16"/>
  <c r="J244" i="16"/>
  <c r="K243" i="16"/>
  <c r="J243" i="16"/>
  <c r="J229" i="16"/>
  <c r="K229" i="16"/>
  <c r="K237" i="16"/>
  <c r="J237" i="16"/>
  <c r="J304" i="13"/>
  <c r="H307" i="13" s="1"/>
  <c r="E130" i="13" s="1"/>
  <c r="K304" i="13"/>
  <c r="H309" i="13" s="1"/>
  <c r="B330" i="13"/>
  <c r="K330" i="13" s="1"/>
  <c r="O301" i="13"/>
  <c r="Q301" i="13" s="1"/>
  <c r="O298" i="13"/>
  <c r="Q298" i="13" s="1"/>
  <c r="O294" i="13"/>
  <c r="Q294" i="13" s="1"/>
  <c r="O292" i="13"/>
  <c r="Q292" i="13" s="1"/>
  <c r="O295" i="13"/>
  <c r="Q295" i="13" s="1"/>
  <c r="O293" i="13"/>
  <c r="Q293" i="13" s="1"/>
  <c r="O300" i="13"/>
  <c r="Q300" i="13" s="1"/>
  <c r="O296" i="13"/>
  <c r="Q296" i="13" s="1"/>
  <c r="O291" i="13"/>
  <c r="Q291" i="13" s="1"/>
  <c r="O287" i="13"/>
  <c r="Q287" i="13" s="1"/>
  <c r="O283" i="13"/>
  <c r="Q283" i="13" s="1"/>
  <c r="O279" i="13"/>
  <c r="Q279" i="13" s="1"/>
  <c r="O288" i="13"/>
  <c r="Q288" i="13" s="1"/>
  <c r="O284" i="13"/>
  <c r="Q284" i="13" s="1"/>
  <c r="O280" i="13"/>
  <c r="Q280" i="13" s="1"/>
  <c r="O276" i="13"/>
  <c r="Q276" i="13" s="1"/>
  <c r="O289" i="13"/>
  <c r="Q289" i="13" s="1"/>
  <c r="O285" i="13"/>
  <c r="Q285" i="13" s="1"/>
  <c r="O281" i="13"/>
  <c r="Q281" i="13" s="1"/>
  <c r="O277" i="13"/>
  <c r="Q277" i="13" s="1"/>
  <c r="O273" i="13"/>
  <c r="Q273" i="13" s="1"/>
  <c r="O278" i="13"/>
  <c r="Q278" i="13" s="1"/>
  <c r="O272" i="13"/>
  <c r="Q272" i="13" s="1"/>
  <c r="O274" i="13"/>
  <c r="Q274" i="13" s="1"/>
  <c r="O269" i="13"/>
  <c r="Q269" i="13" s="1"/>
  <c r="O270" i="13"/>
  <c r="Q270" i="13" s="1"/>
  <c r="O266" i="13"/>
  <c r="Q266" i="13" s="1"/>
  <c r="O262" i="13"/>
  <c r="Q262" i="13" s="1"/>
  <c r="O290" i="13"/>
  <c r="Q290" i="13" s="1"/>
  <c r="O286" i="13"/>
  <c r="Q286" i="13" s="1"/>
  <c r="O282" i="13"/>
  <c r="Q282" i="13" s="1"/>
  <c r="O275" i="13"/>
  <c r="Q275" i="13" s="1"/>
  <c r="O271" i="13"/>
  <c r="Q271" i="13" s="1"/>
  <c r="O267" i="13"/>
  <c r="Q267" i="13" s="1"/>
  <c r="O263" i="13"/>
  <c r="Q263" i="13" s="1"/>
  <c r="O261" i="13"/>
  <c r="Q261" i="13" s="1"/>
  <c r="O259" i="13"/>
  <c r="Q259" i="13" s="1"/>
  <c r="O265" i="13"/>
  <c r="Q265" i="13" s="1"/>
  <c r="O260" i="13"/>
  <c r="Q260" i="13" s="1"/>
  <c r="O257" i="13"/>
  <c r="Q257" i="13" s="1"/>
  <c r="O255" i="13"/>
  <c r="Q255" i="13" s="1"/>
  <c r="O253" i="13"/>
  <c r="Q253" i="13" s="1"/>
  <c r="O251" i="13"/>
  <c r="Q251" i="13" s="1"/>
  <c r="O249" i="13"/>
  <c r="Q249" i="13" s="1"/>
  <c r="O247" i="13"/>
  <c r="Q247" i="13" s="1"/>
  <c r="O245" i="13"/>
  <c r="Q245" i="13" s="1"/>
  <c r="O264" i="13"/>
  <c r="Q264" i="13" s="1"/>
  <c r="O268" i="13"/>
  <c r="Q268" i="13" s="1"/>
  <c r="O258" i="13"/>
  <c r="Q258" i="13" s="1"/>
  <c r="O256" i="13"/>
  <c r="Q256" i="13" s="1"/>
  <c r="O254" i="13"/>
  <c r="Q254" i="13" s="1"/>
  <c r="O252" i="13"/>
  <c r="Q252" i="13" s="1"/>
  <c r="O250" i="13"/>
  <c r="Q250" i="13" s="1"/>
  <c r="O248" i="13"/>
  <c r="Q248" i="13" s="1"/>
  <c r="O246" i="13"/>
  <c r="Q246" i="13" s="1"/>
  <c r="O244" i="13"/>
  <c r="Q244" i="13" s="1"/>
  <c r="O232" i="13"/>
  <c r="Q232" i="13" s="1"/>
  <c r="O230" i="13"/>
  <c r="Q230" i="13" s="1"/>
  <c r="O228" i="13"/>
  <c r="Q228" i="13" s="1"/>
  <c r="O227" i="13"/>
  <c r="Q227" i="13" s="1"/>
  <c r="O223" i="13"/>
  <c r="Q223" i="13" s="1"/>
  <c r="O219" i="13"/>
  <c r="Q219" i="13" s="1"/>
  <c r="O215" i="13"/>
  <c r="Q215" i="13" s="1"/>
  <c r="O213" i="13"/>
  <c r="Q213" i="13" s="1"/>
  <c r="O209" i="13"/>
  <c r="Q209" i="13" s="1"/>
  <c r="O207" i="13"/>
  <c r="Q207" i="13" s="1"/>
  <c r="O240" i="13"/>
  <c r="Q240" i="13" s="1"/>
  <c r="O236" i="13"/>
  <c r="Q236" i="13" s="1"/>
  <c r="O226" i="13"/>
  <c r="Q226" i="13" s="1"/>
  <c r="O222" i="13"/>
  <c r="Q222" i="13" s="1"/>
  <c r="O224" i="13"/>
  <c r="Q224" i="13" s="1"/>
  <c r="O220" i="13"/>
  <c r="Q220" i="13" s="1"/>
  <c r="O216" i="13"/>
  <c r="Q216" i="13" s="1"/>
  <c r="O214" i="13"/>
  <c r="Q214" i="13" s="1"/>
  <c r="O210" i="13"/>
  <c r="Q210" i="13" s="1"/>
  <c r="O243" i="13"/>
  <c r="Q243" i="13" s="1"/>
  <c r="O241" i="13"/>
  <c r="Q241" i="13" s="1"/>
  <c r="O239" i="13"/>
  <c r="Q239" i="13" s="1"/>
  <c r="O237" i="13"/>
  <c r="Q237" i="13" s="1"/>
  <c r="O235" i="13"/>
  <c r="Q235" i="13" s="1"/>
  <c r="O233" i="13"/>
  <c r="Q233" i="13" s="1"/>
  <c r="O231" i="13"/>
  <c r="Q231" i="13" s="1"/>
  <c r="O229" i="13"/>
  <c r="Q229" i="13" s="1"/>
  <c r="O225" i="13"/>
  <c r="Q225" i="13" s="1"/>
  <c r="O221" i="13"/>
  <c r="Q221" i="13" s="1"/>
  <c r="O217" i="13"/>
  <c r="Q217" i="13" s="1"/>
  <c r="O211" i="13"/>
  <c r="Q211" i="13" s="1"/>
  <c r="O242" i="13"/>
  <c r="Q242" i="13" s="1"/>
  <c r="O238" i="13"/>
  <c r="Q238" i="13" s="1"/>
  <c r="O234" i="13"/>
  <c r="Q234" i="13" s="1"/>
  <c r="O212" i="13"/>
  <c r="Q212" i="13" s="1"/>
  <c r="O218" i="13"/>
  <c r="Q218" i="13" s="1"/>
  <c r="O208" i="13"/>
  <c r="Q208" i="13" s="1"/>
  <c r="P298" i="13"/>
  <c r="R298" i="13" s="1"/>
  <c r="T298" i="13" s="1"/>
  <c r="V298" i="13" s="1"/>
  <c r="P294" i="13"/>
  <c r="R294" i="13" s="1"/>
  <c r="T294" i="13" s="1"/>
  <c r="V294" i="13" s="1"/>
  <c r="P299" i="13"/>
  <c r="R299" i="13" s="1"/>
  <c r="T299" i="13" s="1"/>
  <c r="V299" i="13" s="1"/>
  <c r="P295" i="13"/>
  <c r="R295" i="13" s="1"/>
  <c r="T295" i="13" s="1"/>
  <c r="V295" i="13" s="1"/>
  <c r="P293" i="13"/>
  <c r="R293" i="13" s="1"/>
  <c r="T293" i="13" s="1"/>
  <c r="V293" i="13" s="1"/>
  <c r="P300" i="13"/>
  <c r="R300" i="13" s="1"/>
  <c r="T300" i="13" s="1"/>
  <c r="V300" i="13" s="1"/>
  <c r="P296" i="13"/>
  <c r="R296" i="13" s="1"/>
  <c r="T296" i="13" s="1"/>
  <c r="V296" i="13" s="1"/>
  <c r="P301" i="13"/>
  <c r="R301" i="13" s="1"/>
  <c r="T301" i="13" s="1"/>
  <c r="V301" i="13" s="1"/>
  <c r="P297" i="13"/>
  <c r="R297" i="13" s="1"/>
  <c r="T297" i="13" s="1"/>
  <c r="V297" i="13" s="1"/>
  <c r="P292" i="13"/>
  <c r="R292" i="13" s="1"/>
  <c r="T292" i="13" s="1"/>
  <c r="V292" i="13" s="1"/>
  <c r="P288" i="13"/>
  <c r="R288" i="13" s="1"/>
  <c r="T288" i="13" s="1"/>
  <c r="V288" i="13" s="1"/>
  <c r="P284" i="13"/>
  <c r="R284" i="13" s="1"/>
  <c r="T284" i="13" s="1"/>
  <c r="V284" i="13" s="1"/>
  <c r="P280" i="13"/>
  <c r="R280" i="13" s="1"/>
  <c r="T280" i="13" s="1"/>
  <c r="V280" i="13" s="1"/>
  <c r="P276" i="13"/>
  <c r="R276" i="13" s="1"/>
  <c r="T276" i="13" s="1"/>
  <c r="V276" i="13" s="1"/>
  <c r="P289" i="13"/>
  <c r="R289" i="13" s="1"/>
  <c r="T289" i="13" s="1"/>
  <c r="V289" i="13" s="1"/>
  <c r="P285" i="13"/>
  <c r="R285" i="13" s="1"/>
  <c r="T285" i="13" s="1"/>
  <c r="V285" i="13" s="1"/>
  <c r="P281" i="13"/>
  <c r="R281" i="13" s="1"/>
  <c r="T281" i="13" s="1"/>
  <c r="V281" i="13" s="1"/>
  <c r="P277" i="13"/>
  <c r="R277" i="13" s="1"/>
  <c r="T277" i="13" s="1"/>
  <c r="V277" i="13" s="1"/>
  <c r="P290" i="13"/>
  <c r="R290" i="13" s="1"/>
  <c r="T290" i="13" s="1"/>
  <c r="V290" i="13" s="1"/>
  <c r="P286" i="13"/>
  <c r="R286" i="13" s="1"/>
  <c r="T286" i="13" s="1"/>
  <c r="V286" i="13" s="1"/>
  <c r="P282" i="13"/>
  <c r="R282" i="13" s="1"/>
  <c r="T282" i="13" s="1"/>
  <c r="V282" i="13" s="1"/>
  <c r="P278" i="13"/>
  <c r="R278" i="13" s="1"/>
  <c r="T278" i="13" s="1"/>
  <c r="V278" i="13" s="1"/>
  <c r="P274" i="13"/>
  <c r="R274" i="13" s="1"/>
  <c r="T274" i="13" s="1"/>
  <c r="V274" i="13" s="1"/>
  <c r="P287" i="13"/>
  <c r="R287" i="13" s="1"/>
  <c r="T287" i="13" s="1"/>
  <c r="V287" i="13" s="1"/>
  <c r="P283" i="13"/>
  <c r="R283" i="13" s="1"/>
  <c r="T283" i="13" s="1"/>
  <c r="V283" i="13" s="1"/>
  <c r="P273" i="13"/>
  <c r="R273" i="13" s="1"/>
  <c r="T273" i="13" s="1"/>
  <c r="V273" i="13" s="1"/>
  <c r="P279" i="13"/>
  <c r="R279" i="13" s="1"/>
  <c r="T279" i="13" s="1"/>
  <c r="V279" i="13" s="1"/>
  <c r="P270" i="13"/>
  <c r="R270" i="13" s="1"/>
  <c r="T270" i="13" s="1"/>
  <c r="V270" i="13" s="1"/>
  <c r="P275" i="13"/>
  <c r="R275" i="13" s="1"/>
  <c r="T275" i="13" s="1"/>
  <c r="V275" i="13" s="1"/>
  <c r="P271" i="13"/>
  <c r="R271" i="13" s="1"/>
  <c r="T271" i="13" s="1"/>
  <c r="V271" i="13" s="1"/>
  <c r="P267" i="13"/>
  <c r="R267" i="13" s="1"/>
  <c r="T267" i="13" s="1"/>
  <c r="V267" i="13" s="1"/>
  <c r="P263" i="13"/>
  <c r="R263" i="13" s="1"/>
  <c r="T263" i="13" s="1"/>
  <c r="V263" i="13" s="1"/>
  <c r="P261" i="13"/>
  <c r="R261" i="13" s="1"/>
  <c r="T261" i="13" s="1"/>
  <c r="V261" i="13" s="1"/>
  <c r="P259" i="13"/>
  <c r="R259" i="13" s="1"/>
  <c r="T259" i="13" s="1"/>
  <c r="V259" i="13" s="1"/>
  <c r="P291" i="13"/>
  <c r="R291" i="13" s="1"/>
  <c r="T291" i="13" s="1"/>
  <c r="V291" i="13" s="1"/>
  <c r="P272" i="13"/>
  <c r="R272" i="13" s="1"/>
  <c r="T272" i="13" s="1"/>
  <c r="V272" i="13" s="1"/>
  <c r="P268" i="13"/>
  <c r="R268" i="13" s="1"/>
  <c r="T268" i="13" s="1"/>
  <c r="V268" i="13" s="1"/>
  <c r="P264" i="13"/>
  <c r="R264" i="13" s="1"/>
  <c r="T264" i="13" s="1"/>
  <c r="V264" i="13" s="1"/>
  <c r="P260" i="13"/>
  <c r="R260" i="13" s="1"/>
  <c r="T260" i="13" s="1"/>
  <c r="V260" i="13" s="1"/>
  <c r="P266" i="13"/>
  <c r="R266" i="13" s="1"/>
  <c r="T266" i="13" s="1"/>
  <c r="V266" i="13" s="1"/>
  <c r="P257" i="13"/>
  <c r="R257" i="13" s="1"/>
  <c r="T257" i="13" s="1"/>
  <c r="V257" i="13" s="1"/>
  <c r="P255" i="13"/>
  <c r="R255" i="13" s="1"/>
  <c r="T255" i="13" s="1"/>
  <c r="V255" i="13" s="1"/>
  <c r="P253" i="13"/>
  <c r="R253" i="13" s="1"/>
  <c r="T253" i="13" s="1"/>
  <c r="V253" i="13" s="1"/>
  <c r="P251" i="13"/>
  <c r="R251" i="13" s="1"/>
  <c r="T251" i="13" s="1"/>
  <c r="V251" i="13" s="1"/>
  <c r="P249" i="13"/>
  <c r="R249" i="13" s="1"/>
  <c r="T249" i="13" s="1"/>
  <c r="V249" i="13" s="1"/>
  <c r="P247" i="13"/>
  <c r="R247" i="13" s="1"/>
  <c r="T247" i="13" s="1"/>
  <c r="V247" i="13" s="1"/>
  <c r="P245" i="13"/>
  <c r="R245" i="13" s="1"/>
  <c r="T245" i="13" s="1"/>
  <c r="V245" i="13" s="1"/>
  <c r="P243" i="13"/>
  <c r="R243" i="13" s="1"/>
  <c r="T243" i="13" s="1"/>
  <c r="V243" i="13" s="1"/>
  <c r="P269" i="13"/>
  <c r="R269" i="13" s="1"/>
  <c r="T269" i="13" s="1"/>
  <c r="V269" i="13" s="1"/>
  <c r="P258" i="13"/>
  <c r="R258" i="13" s="1"/>
  <c r="T258" i="13" s="1"/>
  <c r="V258" i="13" s="1"/>
  <c r="P256" i="13"/>
  <c r="R256" i="13" s="1"/>
  <c r="T256" i="13" s="1"/>
  <c r="V256" i="13" s="1"/>
  <c r="P254" i="13"/>
  <c r="R254" i="13" s="1"/>
  <c r="T254" i="13" s="1"/>
  <c r="V254" i="13" s="1"/>
  <c r="P252" i="13"/>
  <c r="R252" i="13" s="1"/>
  <c r="T252" i="13" s="1"/>
  <c r="V252" i="13" s="1"/>
  <c r="P250" i="13"/>
  <c r="R250" i="13" s="1"/>
  <c r="T250" i="13" s="1"/>
  <c r="V250" i="13" s="1"/>
  <c r="P248" i="13"/>
  <c r="R248" i="13" s="1"/>
  <c r="T248" i="13" s="1"/>
  <c r="V248" i="13" s="1"/>
  <c r="P246" i="13"/>
  <c r="R246" i="13" s="1"/>
  <c r="T246" i="13" s="1"/>
  <c r="V246" i="13" s="1"/>
  <c r="P244" i="13"/>
  <c r="R244" i="13" s="1"/>
  <c r="T244" i="13" s="1"/>
  <c r="V244" i="13" s="1"/>
  <c r="P242" i="13"/>
  <c r="R242" i="13" s="1"/>
  <c r="T242" i="13" s="1"/>
  <c r="V242" i="13" s="1"/>
  <c r="P240" i="13"/>
  <c r="R240" i="13" s="1"/>
  <c r="T240" i="13" s="1"/>
  <c r="V240" i="13" s="1"/>
  <c r="P238" i="13"/>
  <c r="R238" i="13" s="1"/>
  <c r="T238" i="13" s="1"/>
  <c r="V238" i="13" s="1"/>
  <c r="P236" i="13"/>
  <c r="R236" i="13" s="1"/>
  <c r="T236" i="13" s="1"/>
  <c r="V236" i="13" s="1"/>
  <c r="P234" i="13"/>
  <c r="R234" i="13" s="1"/>
  <c r="T234" i="13" s="1"/>
  <c r="V234" i="13" s="1"/>
  <c r="P265" i="13"/>
  <c r="R265" i="13" s="1"/>
  <c r="T265" i="13" s="1"/>
  <c r="V265" i="13" s="1"/>
  <c r="P262" i="13"/>
  <c r="R262" i="13" s="1"/>
  <c r="T262" i="13" s="1"/>
  <c r="V262" i="13" s="1"/>
  <c r="P224" i="13"/>
  <c r="R224" i="13" s="1"/>
  <c r="P220" i="13"/>
  <c r="R220" i="13" s="1"/>
  <c r="P216" i="13"/>
  <c r="R216" i="13" s="1"/>
  <c r="P214" i="13"/>
  <c r="R214" i="13" s="1"/>
  <c r="P210" i="13"/>
  <c r="R210" i="13" s="1"/>
  <c r="P232" i="13"/>
  <c r="R232" i="13" s="1"/>
  <c r="T232" i="13" s="1"/>
  <c r="V232" i="13" s="1"/>
  <c r="P219" i="13"/>
  <c r="R219" i="13" s="1"/>
  <c r="P215" i="13"/>
  <c r="R215" i="13" s="1"/>
  <c r="P213" i="13"/>
  <c r="R213" i="13" s="1"/>
  <c r="P241" i="13"/>
  <c r="R241" i="13" s="1"/>
  <c r="T241" i="13" s="1"/>
  <c r="V241" i="13" s="1"/>
  <c r="P239" i="13"/>
  <c r="R239" i="13" s="1"/>
  <c r="T239" i="13" s="1"/>
  <c r="V239" i="13" s="1"/>
  <c r="P237" i="13"/>
  <c r="R237" i="13" s="1"/>
  <c r="T237" i="13" s="1"/>
  <c r="V237" i="13" s="1"/>
  <c r="P235" i="13"/>
  <c r="R235" i="13" s="1"/>
  <c r="T235" i="13" s="1"/>
  <c r="V235" i="13" s="1"/>
  <c r="P233" i="13"/>
  <c r="R233" i="13" s="1"/>
  <c r="T233" i="13" s="1"/>
  <c r="V233" i="13" s="1"/>
  <c r="P231" i="13"/>
  <c r="R231" i="13" s="1"/>
  <c r="T231" i="13" s="1"/>
  <c r="V231" i="13" s="1"/>
  <c r="P229" i="13"/>
  <c r="R229" i="13" s="1"/>
  <c r="T229" i="13" s="1"/>
  <c r="V229" i="13" s="1"/>
  <c r="P225" i="13"/>
  <c r="R225" i="13" s="1"/>
  <c r="P221" i="13"/>
  <c r="R221" i="13" s="1"/>
  <c r="P217" i="13"/>
  <c r="R217" i="13" s="1"/>
  <c r="P211" i="13"/>
  <c r="R211" i="13" s="1"/>
  <c r="P223" i="13"/>
  <c r="R223" i="13" s="1"/>
  <c r="P226" i="13"/>
  <c r="R226" i="13" s="1"/>
  <c r="P222" i="13"/>
  <c r="R222" i="13" s="1"/>
  <c r="P218" i="13"/>
  <c r="R218" i="13" s="1"/>
  <c r="P212" i="13"/>
  <c r="R212" i="13" s="1"/>
  <c r="P208" i="13"/>
  <c r="R208" i="13" s="1"/>
  <c r="T208" i="13" s="1"/>
  <c r="V208" i="13" s="1"/>
  <c r="P230" i="13"/>
  <c r="R230" i="13" s="1"/>
  <c r="T230" i="13" s="1"/>
  <c r="V230" i="13" s="1"/>
  <c r="P228" i="13"/>
  <c r="R228" i="13" s="1"/>
  <c r="P227" i="13"/>
  <c r="R227" i="13" s="1"/>
  <c r="P209" i="13"/>
  <c r="R209" i="13" s="1"/>
  <c r="P207" i="13"/>
  <c r="R207" i="13" s="1"/>
  <c r="T207" i="13" s="1"/>
  <c r="V207" i="13" s="1"/>
  <c r="F8" i="14"/>
  <c r="W26" i="2"/>
  <c r="B324" i="16" l="1"/>
  <c r="N338" i="16"/>
  <c r="K323" i="16"/>
  <c r="K304" i="16"/>
  <c r="H309" i="16" s="1"/>
  <c r="J304" i="16"/>
  <c r="H307" i="16" s="1"/>
  <c r="O299" i="13"/>
  <c r="Q299" i="13" s="1"/>
  <c r="O297" i="13"/>
  <c r="Q297" i="13" s="1"/>
  <c r="B331" i="13"/>
  <c r="K331" i="13" s="1"/>
  <c r="T227" i="13"/>
  <c r="V227" i="13" s="1"/>
  <c r="T212" i="13"/>
  <c r="V212" i="13" s="1"/>
  <c r="T223" i="13"/>
  <c r="V223" i="13" s="1"/>
  <c r="T225" i="13"/>
  <c r="V225" i="13" s="1"/>
  <c r="T213" i="13"/>
  <c r="V213" i="13" s="1"/>
  <c r="T210" i="13"/>
  <c r="V210" i="13" s="1"/>
  <c r="T224" i="13"/>
  <c r="V224" i="13" s="1"/>
  <c r="U234" i="13"/>
  <c r="X234" i="13" s="1"/>
  <c r="S234" i="13"/>
  <c r="W234" i="13" s="1"/>
  <c r="U217" i="13"/>
  <c r="X217" i="13" s="1"/>
  <c r="S217" i="13"/>
  <c r="W217" i="13" s="1"/>
  <c r="S231" i="13"/>
  <c r="W231" i="13" s="1"/>
  <c r="U231" i="13"/>
  <c r="X231" i="13" s="1"/>
  <c r="S239" i="13"/>
  <c r="W239" i="13" s="1"/>
  <c r="U239" i="13"/>
  <c r="X239" i="13" s="1"/>
  <c r="S214" i="13"/>
  <c r="W214" i="13" s="1"/>
  <c r="U214" i="13"/>
  <c r="X214" i="13" s="1"/>
  <c r="U222" i="13"/>
  <c r="X222" i="13" s="1"/>
  <c r="S222" i="13"/>
  <c r="W222" i="13" s="1"/>
  <c r="S207" i="13"/>
  <c r="W207" i="13" s="1"/>
  <c r="U207" i="13"/>
  <c r="X207" i="13" s="1"/>
  <c r="S219" i="13"/>
  <c r="W219" i="13" s="1"/>
  <c r="U219" i="13"/>
  <c r="X219" i="13" s="1"/>
  <c r="S230" i="13"/>
  <c r="W230" i="13" s="1"/>
  <c r="U230" i="13"/>
  <c r="X230" i="13" s="1"/>
  <c r="S248" i="13"/>
  <c r="W248" i="13" s="1"/>
  <c r="U248" i="13"/>
  <c r="X248" i="13" s="1"/>
  <c r="S256" i="13"/>
  <c r="W256" i="13" s="1"/>
  <c r="U256" i="13"/>
  <c r="X256" i="13" s="1"/>
  <c r="S245" i="13"/>
  <c r="W245" i="13" s="1"/>
  <c r="U245" i="13"/>
  <c r="X245" i="13" s="1"/>
  <c r="S253" i="13"/>
  <c r="W253" i="13" s="1"/>
  <c r="U253" i="13"/>
  <c r="X253" i="13" s="1"/>
  <c r="U265" i="13"/>
  <c r="X265" i="13" s="1"/>
  <c r="S265" i="13"/>
  <c r="W265" i="13" s="1"/>
  <c r="S267" i="13"/>
  <c r="W267" i="13" s="1"/>
  <c r="U267" i="13"/>
  <c r="X267" i="13" s="1"/>
  <c r="U286" i="13"/>
  <c r="X286" i="13" s="1"/>
  <c r="S286" i="13"/>
  <c r="W286" i="13" s="1"/>
  <c r="U270" i="13"/>
  <c r="X270" i="13" s="1"/>
  <c r="S270" i="13"/>
  <c r="W270" i="13" s="1"/>
  <c r="U278" i="13"/>
  <c r="X278" i="13" s="1"/>
  <c r="S278" i="13"/>
  <c r="W278" i="13" s="1"/>
  <c r="S285" i="13"/>
  <c r="W285" i="13" s="1"/>
  <c r="U285" i="13"/>
  <c r="X285" i="13" s="1"/>
  <c r="S284" i="13"/>
  <c r="W284" i="13" s="1"/>
  <c r="U284" i="13"/>
  <c r="X284" i="13" s="1"/>
  <c r="S287" i="13"/>
  <c r="W287" i="13" s="1"/>
  <c r="U287" i="13"/>
  <c r="X287" i="13" s="1"/>
  <c r="U293" i="13"/>
  <c r="X293" i="13" s="1"/>
  <c r="S293" i="13"/>
  <c r="W293" i="13" s="1"/>
  <c r="S294" i="13"/>
  <c r="W294" i="13" s="1"/>
  <c r="U294" i="13"/>
  <c r="X294" i="13" s="1"/>
  <c r="T218" i="13"/>
  <c r="V218" i="13" s="1"/>
  <c r="T211" i="13"/>
  <c r="V211" i="13" s="1"/>
  <c r="T215" i="13"/>
  <c r="V215" i="13" s="1"/>
  <c r="T214" i="13"/>
  <c r="V214" i="13" s="1"/>
  <c r="S208" i="13"/>
  <c r="W208" i="13" s="1"/>
  <c r="U208" i="13"/>
  <c r="X208" i="13" s="1"/>
  <c r="U238" i="13"/>
  <c r="X238" i="13" s="1"/>
  <c r="S238" i="13"/>
  <c r="W238" i="13" s="1"/>
  <c r="U221" i="13"/>
  <c r="X221" i="13" s="1"/>
  <c r="S221" i="13"/>
  <c r="W221" i="13" s="1"/>
  <c r="S233" i="13"/>
  <c r="W233" i="13" s="1"/>
  <c r="U233" i="13"/>
  <c r="X233" i="13" s="1"/>
  <c r="S241" i="13"/>
  <c r="W241" i="13" s="1"/>
  <c r="U241" i="13"/>
  <c r="X241" i="13" s="1"/>
  <c r="S216" i="13"/>
  <c r="W216" i="13" s="1"/>
  <c r="U216" i="13"/>
  <c r="X216" i="13" s="1"/>
  <c r="U226" i="13"/>
  <c r="X226" i="13" s="1"/>
  <c r="S226" i="13"/>
  <c r="W226" i="13" s="1"/>
  <c r="S209" i="13"/>
  <c r="W209" i="13" s="1"/>
  <c r="U209" i="13"/>
  <c r="X209" i="13" s="1"/>
  <c r="S223" i="13"/>
  <c r="W223" i="13" s="1"/>
  <c r="U223" i="13"/>
  <c r="X223" i="13" s="1"/>
  <c r="S232" i="13"/>
  <c r="W232" i="13" s="1"/>
  <c r="U232" i="13"/>
  <c r="X232" i="13" s="1"/>
  <c r="S250" i="13"/>
  <c r="W250" i="13" s="1"/>
  <c r="U250" i="13"/>
  <c r="X250" i="13" s="1"/>
  <c r="U258" i="13"/>
  <c r="X258" i="13" s="1"/>
  <c r="S258" i="13"/>
  <c r="W258" i="13" s="1"/>
  <c r="S247" i="13"/>
  <c r="W247" i="13" s="1"/>
  <c r="U247" i="13"/>
  <c r="X247" i="13" s="1"/>
  <c r="S255" i="13"/>
  <c r="W255" i="13" s="1"/>
  <c r="U255" i="13"/>
  <c r="X255" i="13" s="1"/>
  <c r="S259" i="13"/>
  <c r="W259" i="13" s="1"/>
  <c r="U259" i="13"/>
  <c r="X259" i="13" s="1"/>
  <c r="U271" i="13"/>
  <c r="X271" i="13" s="1"/>
  <c r="S271" i="13"/>
  <c r="W271" i="13" s="1"/>
  <c r="U290" i="13"/>
  <c r="X290" i="13" s="1"/>
  <c r="S290" i="13"/>
  <c r="W290" i="13" s="1"/>
  <c r="U269" i="13"/>
  <c r="X269" i="13" s="1"/>
  <c r="S269" i="13"/>
  <c r="W269" i="13" s="1"/>
  <c r="U273" i="13"/>
  <c r="X273" i="13" s="1"/>
  <c r="S273" i="13"/>
  <c r="W273" i="13" s="1"/>
  <c r="S289" i="13"/>
  <c r="W289" i="13" s="1"/>
  <c r="U289" i="13"/>
  <c r="X289" i="13" s="1"/>
  <c r="S288" i="13"/>
  <c r="W288" i="13" s="1"/>
  <c r="U288" i="13"/>
  <c r="X288" i="13" s="1"/>
  <c r="S291" i="13"/>
  <c r="W291" i="13" s="1"/>
  <c r="U291" i="13"/>
  <c r="X291" i="13" s="1"/>
  <c r="U295" i="13"/>
  <c r="X295" i="13" s="1"/>
  <c r="S295" i="13"/>
  <c r="W295" i="13" s="1"/>
  <c r="S298" i="13"/>
  <c r="W298" i="13" s="1"/>
  <c r="U298" i="13"/>
  <c r="X298" i="13" s="1"/>
  <c r="T228" i="13"/>
  <c r="V228" i="13" s="1"/>
  <c r="T222" i="13"/>
  <c r="V222" i="13" s="1"/>
  <c r="T219" i="13"/>
  <c r="V219" i="13" s="1"/>
  <c r="T216" i="13"/>
  <c r="V216" i="13" s="1"/>
  <c r="U218" i="13"/>
  <c r="X218" i="13" s="1"/>
  <c r="S218" i="13"/>
  <c r="W218" i="13" s="1"/>
  <c r="U242" i="13"/>
  <c r="X242" i="13" s="1"/>
  <c r="S242" i="13"/>
  <c r="W242" i="13" s="1"/>
  <c r="U225" i="13"/>
  <c r="X225" i="13" s="1"/>
  <c r="S225" i="13"/>
  <c r="W225" i="13" s="1"/>
  <c r="S235" i="13"/>
  <c r="W235" i="13" s="1"/>
  <c r="U235" i="13"/>
  <c r="X235" i="13" s="1"/>
  <c r="U243" i="13"/>
  <c r="X243" i="13" s="1"/>
  <c r="S243" i="13"/>
  <c r="W243" i="13" s="1"/>
  <c r="S220" i="13"/>
  <c r="W220" i="13" s="1"/>
  <c r="U220" i="13"/>
  <c r="X220" i="13" s="1"/>
  <c r="U236" i="13"/>
  <c r="X236" i="13" s="1"/>
  <c r="S236" i="13"/>
  <c r="W236" i="13" s="1"/>
  <c r="S213" i="13"/>
  <c r="W213" i="13" s="1"/>
  <c r="U213" i="13"/>
  <c r="X213" i="13" s="1"/>
  <c r="S227" i="13"/>
  <c r="W227" i="13" s="1"/>
  <c r="U227" i="13"/>
  <c r="X227" i="13" s="1"/>
  <c r="S244" i="13"/>
  <c r="W244" i="13" s="1"/>
  <c r="U244" i="13"/>
  <c r="X244" i="13" s="1"/>
  <c r="S252" i="13"/>
  <c r="W252" i="13" s="1"/>
  <c r="U252" i="13"/>
  <c r="X252" i="13" s="1"/>
  <c r="S268" i="13"/>
  <c r="W268" i="13" s="1"/>
  <c r="U268" i="13"/>
  <c r="X268" i="13" s="1"/>
  <c r="S249" i="13"/>
  <c r="W249" i="13" s="1"/>
  <c r="U249" i="13"/>
  <c r="X249" i="13" s="1"/>
  <c r="S257" i="13"/>
  <c r="W257" i="13" s="1"/>
  <c r="U257" i="13"/>
  <c r="X257" i="13" s="1"/>
  <c r="S261" i="13"/>
  <c r="W261" i="13" s="1"/>
  <c r="U261" i="13"/>
  <c r="X261" i="13" s="1"/>
  <c r="S275" i="13"/>
  <c r="W275" i="13" s="1"/>
  <c r="U275" i="13"/>
  <c r="X275" i="13" s="1"/>
  <c r="U262" i="13"/>
  <c r="X262" i="13" s="1"/>
  <c r="S262" i="13"/>
  <c r="W262" i="13" s="1"/>
  <c r="U274" i="13"/>
  <c r="X274" i="13" s="1"/>
  <c r="S274" i="13"/>
  <c r="W274" i="13" s="1"/>
  <c r="U277" i="13"/>
  <c r="X277" i="13" s="1"/>
  <c r="S277" i="13"/>
  <c r="W277" i="13" s="1"/>
  <c r="U276" i="13"/>
  <c r="X276" i="13" s="1"/>
  <c r="S276" i="13"/>
  <c r="W276" i="13" s="1"/>
  <c r="U279" i="13"/>
  <c r="X279" i="13" s="1"/>
  <c r="S279" i="13"/>
  <c r="W279" i="13" s="1"/>
  <c r="U296" i="13"/>
  <c r="X296" i="13" s="1"/>
  <c r="S296" i="13"/>
  <c r="W296" i="13" s="1"/>
  <c r="U299" i="13"/>
  <c r="X299" i="13" s="1"/>
  <c r="S299" i="13"/>
  <c r="W299" i="13" s="1"/>
  <c r="S297" i="13"/>
  <c r="W297" i="13" s="1"/>
  <c r="U297" i="13"/>
  <c r="X297" i="13" s="1"/>
  <c r="T217" i="13"/>
  <c r="V217" i="13" s="1"/>
  <c r="T209" i="13"/>
  <c r="V209" i="13" s="1"/>
  <c r="T226" i="13"/>
  <c r="V226" i="13" s="1"/>
  <c r="T221" i="13"/>
  <c r="V221" i="13" s="1"/>
  <c r="T220" i="13"/>
  <c r="V220" i="13" s="1"/>
  <c r="U212" i="13"/>
  <c r="X212" i="13" s="1"/>
  <c r="S212" i="13"/>
  <c r="W212" i="13" s="1"/>
  <c r="U211" i="13"/>
  <c r="X211" i="13" s="1"/>
  <c r="S211" i="13"/>
  <c r="W211" i="13" s="1"/>
  <c r="U229" i="13"/>
  <c r="X229" i="13" s="1"/>
  <c r="S229" i="13"/>
  <c r="W229" i="13" s="1"/>
  <c r="U237" i="13"/>
  <c r="X237" i="13" s="1"/>
  <c r="S237" i="13"/>
  <c r="W237" i="13" s="1"/>
  <c r="S210" i="13"/>
  <c r="W210" i="13" s="1"/>
  <c r="U210" i="13"/>
  <c r="X210" i="13" s="1"/>
  <c r="U224" i="13"/>
  <c r="X224" i="13" s="1"/>
  <c r="S224" i="13"/>
  <c r="W224" i="13" s="1"/>
  <c r="U240" i="13"/>
  <c r="X240" i="13" s="1"/>
  <c r="S240" i="13"/>
  <c r="W240" i="13" s="1"/>
  <c r="S215" i="13"/>
  <c r="W215" i="13" s="1"/>
  <c r="U215" i="13"/>
  <c r="X215" i="13" s="1"/>
  <c r="S228" i="13"/>
  <c r="W228" i="13" s="1"/>
  <c r="U228" i="13"/>
  <c r="X228" i="13" s="1"/>
  <c r="U246" i="13"/>
  <c r="X246" i="13" s="1"/>
  <c r="S246" i="13"/>
  <c r="W246" i="13" s="1"/>
  <c r="U254" i="13"/>
  <c r="X254" i="13" s="1"/>
  <c r="S254" i="13"/>
  <c r="W254" i="13" s="1"/>
  <c r="S264" i="13"/>
  <c r="W264" i="13" s="1"/>
  <c r="U264" i="13"/>
  <c r="X264" i="13" s="1"/>
  <c r="S251" i="13"/>
  <c r="W251" i="13" s="1"/>
  <c r="U251" i="13"/>
  <c r="X251" i="13" s="1"/>
  <c r="U260" i="13"/>
  <c r="X260" i="13" s="1"/>
  <c r="S260" i="13"/>
  <c r="W260" i="13" s="1"/>
  <c r="U263" i="13"/>
  <c r="X263" i="13" s="1"/>
  <c r="S263" i="13"/>
  <c r="W263" i="13" s="1"/>
  <c r="U282" i="13"/>
  <c r="X282" i="13" s="1"/>
  <c r="S282" i="13"/>
  <c r="W282" i="13" s="1"/>
  <c r="U266" i="13"/>
  <c r="X266" i="13" s="1"/>
  <c r="S266" i="13"/>
  <c r="W266" i="13" s="1"/>
  <c r="S272" i="13"/>
  <c r="W272" i="13" s="1"/>
  <c r="U272" i="13"/>
  <c r="X272" i="13" s="1"/>
  <c r="U281" i="13"/>
  <c r="X281" i="13" s="1"/>
  <c r="S281" i="13"/>
  <c r="W281" i="13" s="1"/>
  <c r="U280" i="13"/>
  <c r="X280" i="13" s="1"/>
  <c r="S280" i="13"/>
  <c r="W280" i="13" s="1"/>
  <c r="U283" i="13"/>
  <c r="X283" i="13" s="1"/>
  <c r="S283" i="13"/>
  <c r="W283" i="13" s="1"/>
  <c r="U300" i="13"/>
  <c r="X300" i="13" s="1"/>
  <c r="S300" i="13"/>
  <c r="W300" i="13" s="1"/>
  <c r="U292" i="13"/>
  <c r="X292" i="13" s="1"/>
  <c r="S292" i="13"/>
  <c r="W292" i="13" s="1"/>
  <c r="S301" i="13"/>
  <c r="W301" i="13" s="1"/>
  <c r="U301" i="13"/>
  <c r="X301" i="13" s="1"/>
  <c r="E31" i="2"/>
  <c r="E30" i="2"/>
  <c r="E25" i="2"/>
  <c r="E29" i="2"/>
  <c r="O301" i="16" l="1"/>
  <c r="Q301" i="16" s="1"/>
  <c r="O297" i="16"/>
  <c r="Q297" i="16" s="1"/>
  <c r="O298" i="16"/>
  <c r="Q298" i="16" s="1"/>
  <c r="O299" i="16"/>
  <c r="Q299" i="16" s="1"/>
  <c r="O295" i="16"/>
  <c r="Q295" i="16" s="1"/>
  <c r="O291" i="16"/>
  <c r="Q291" i="16" s="1"/>
  <c r="O287" i="16"/>
  <c r="Q287" i="16" s="1"/>
  <c r="O283" i="16"/>
  <c r="Q283" i="16" s="1"/>
  <c r="O279" i="16"/>
  <c r="Q279" i="16" s="1"/>
  <c r="O275" i="16"/>
  <c r="Q275" i="16" s="1"/>
  <c r="O271" i="16"/>
  <c r="Q271" i="16" s="1"/>
  <c r="O267" i="16"/>
  <c r="Q267" i="16" s="1"/>
  <c r="O263" i="16"/>
  <c r="Q263" i="16" s="1"/>
  <c r="O259" i="16"/>
  <c r="Q259" i="16" s="1"/>
  <c r="O296" i="16"/>
  <c r="Q296" i="16" s="1"/>
  <c r="O292" i="16"/>
  <c r="Q292" i="16" s="1"/>
  <c r="O288" i="16"/>
  <c r="Q288" i="16" s="1"/>
  <c r="O284" i="16"/>
  <c r="Q284" i="16" s="1"/>
  <c r="O280" i="16"/>
  <c r="Q280" i="16" s="1"/>
  <c r="O276" i="16"/>
  <c r="Q276" i="16" s="1"/>
  <c r="O272" i="16"/>
  <c r="Q272" i="16" s="1"/>
  <c r="O268" i="16"/>
  <c r="Q268" i="16" s="1"/>
  <c r="O264" i="16"/>
  <c r="Q264" i="16" s="1"/>
  <c r="O260" i="16"/>
  <c r="Q260" i="16" s="1"/>
  <c r="O293" i="16"/>
  <c r="Q293" i="16" s="1"/>
  <c r="O289" i="16"/>
  <c r="Q289" i="16" s="1"/>
  <c r="O285" i="16"/>
  <c r="Q285" i="16" s="1"/>
  <c r="O281" i="16"/>
  <c r="Q281" i="16" s="1"/>
  <c r="O277" i="16"/>
  <c r="Q277" i="16" s="1"/>
  <c r="O273" i="16"/>
  <c r="Q273" i="16" s="1"/>
  <c r="O269" i="16"/>
  <c r="Q269" i="16" s="1"/>
  <c r="O265" i="16"/>
  <c r="Q265" i="16" s="1"/>
  <c r="O278" i="16"/>
  <c r="Q278" i="16" s="1"/>
  <c r="O258" i="16"/>
  <c r="Q258" i="16" s="1"/>
  <c r="O254" i="16"/>
  <c r="Q254" i="16" s="1"/>
  <c r="O250" i="16"/>
  <c r="Q250" i="16" s="1"/>
  <c r="O246" i="16"/>
  <c r="Q246" i="16" s="1"/>
  <c r="O244" i="16"/>
  <c r="Q244" i="16" s="1"/>
  <c r="O242" i="16"/>
  <c r="Q242" i="16" s="1"/>
  <c r="O240" i="16"/>
  <c r="Q240" i="16" s="1"/>
  <c r="O238" i="16"/>
  <c r="Q238" i="16" s="1"/>
  <c r="O236" i="16"/>
  <c r="Q236" i="16" s="1"/>
  <c r="O234" i="16"/>
  <c r="Q234" i="16" s="1"/>
  <c r="O232" i="16"/>
  <c r="Q232" i="16" s="1"/>
  <c r="O300" i="16"/>
  <c r="Q300" i="16" s="1"/>
  <c r="O290" i="16"/>
  <c r="Q290" i="16" s="1"/>
  <c r="O282" i="16"/>
  <c r="Q282" i="16" s="1"/>
  <c r="O270" i="16"/>
  <c r="Q270" i="16" s="1"/>
  <c r="O262" i="16"/>
  <c r="Q262" i="16" s="1"/>
  <c r="O255" i="16"/>
  <c r="Q255" i="16" s="1"/>
  <c r="O251" i="16"/>
  <c r="Q251" i="16" s="1"/>
  <c r="O247" i="16"/>
  <c r="Q247" i="16" s="1"/>
  <c r="O261" i="16"/>
  <c r="Q261" i="16" s="1"/>
  <c r="O256" i="16"/>
  <c r="Q256" i="16" s="1"/>
  <c r="O252" i="16"/>
  <c r="Q252" i="16" s="1"/>
  <c r="O248" i="16"/>
  <c r="Q248" i="16" s="1"/>
  <c r="O243" i="16"/>
  <c r="Q243" i="16" s="1"/>
  <c r="O241" i="16"/>
  <c r="Q241" i="16" s="1"/>
  <c r="O239" i="16"/>
  <c r="Q239" i="16" s="1"/>
  <c r="O237" i="16"/>
  <c r="Q237" i="16" s="1"/>
  <c r="O235" i="16"/>
  <c r="Q235" i="16" s="1"/>
  <c r="O233" i="16"/>
  <c r="Q233" i="16" s="1"/>
  <c r="O231" i="16"/>
  <c r="Q231" i="16" s="1"/>
  <c r="O266" i="16"/>
  <c r="Q266" i="16" s="1"/>
  <c r="O253" i="16"/>
  <c r="Q253" i="16" s="1"/>
  <c r="O224" i="16"/>
  <c r="Q224" i="16" s="1"/>
  <c r="O220" i="16"/>
  <c r="Q220" i="16" s="1"/>
  <c r="O216" i="16"/>
  <c r="Q216" i="16" s="1"/>
  <c r="O214" i="16"/>
  <c r="Q214" i="16" s="1"/>
  <c r="O210" i="16"/>
  <c r="Q210" i="16" s="1"/>
  <c r="O274" i="16"/>
  <c r="Q274" i="16" s="1"/>
  <c r="O219" i="16"/>
  <c r="Q219" i="16" s="1"/>
  <c r="O209" i="16"/>
  <c r="Q209" i="16" s="1"/>
  <c r="O294" i="16"/>
  <c r="Q294" i="16" s="1"/>
  <c r="O257" i="16"/>
  <c r="Q257" i="16" s="1"/>
  <c r="O230" i="16"/>
  <c r="Q230" i="16" s="1"/>
  <c r="O228" i="16"/>
  <c r="Q228" i="16" s="1"/>
  <c r="O225" i="16"/>
  <c r="Q225" i="16" s="1"/>
  <c r="O221" i="16"/>
  <c r="Q221" i="16" s="1"/>
  <c r="O217" i="16"/>
  <c r="Q217" i="16" s="1"/>
  <c r="O211" i="16"/>
  <c r="Q211" i="16" s="1"/>
  <c r="O229" i="16"/>
  <c r="Q229" i="16" s="1"/>
  <c r="O215" i="16"/>
  <c r="Q215" i="16" s="1"/>
  <c r="O286" i="16"/>
  <c r="Q286" i="16" s="1"/>
  <c r="O245" i="16"/>
  <c r="Q245" i="16" s="1"/>
  <c r="O226" i="16"/>
  <c r="Q226" i="16" s="1"/>
  <c r="O222" i="16"/>
  <c r="Q222" i="16" s="1"/>
  <c r="O218" i="16"/>
  <c r="Q218" i="16" s="1"/>
  <c r="O212" i="16"/>
  <c r="Q212" i="16" s="1"/>
  <c r="O208" i="16"/>
  <c r="Q208" i="16" s="1"/>
  <c r="O207" i="16"/>
  <c r="Q207" i="16" s="1"/>
  <c r="O249" i="16"/>
  <c r="Q249" i="16" s="1"/>
  <c r="O227" i="16"/>
  <c r="Q227" i="16" s="1"/>
  <c r="O223" i="16"/>
  <c r="Q223" i="16" s="1"/>
  <c r="O213" i="16"/>
  <c r="Q213" i="16" s="1"/>
  <c r="B365" i="16"/>
  <c r="B366" i="16" s="1"/>
  <c r="E130" i="16"/>
  <c r="P298" i="16"/>
  <c r="R298" i="16" s="1"/>
  <c r="T298" i="16" s="1"/>
  <c r="V298" i="16" s="1"/>
  <c r="P299" i="16"/>
  <c r="R299" i="16" s="1"/>
  <c r="T299" i="16" s="1"/>
  <c r="V299" i="16" s="1"/>
  <c r="P300" i="16"/>
  <c r="R300" i="16" s="1"/>
  <c r="T300" i="16" s="1"/>
  <c r="V300" i="16" s="1"/>
  <c r="P297" i="16"/>
  <c r="R297" i="16" s="1"/>
  <c r="T297" i="16" s="1"/>
  <c r="V297" i="16" s="1"/>
  <c r="P296" i="16"/>
  <c r="R296" i="16" s="1"/>
  <c r="T296" i="16" s="1"/>
  <c r="V296" i="16" s="1"/>
  <c r="P292" i="16"/>
  <c r="R292" i="16" s="1"/>
  <c r="T292" i="16" s="1"/>
  <c r="V292" i="16" s="1"/>
  <c r="P288" i="16"/>
  <c r="R288" i="16" s="1"/>
  <c r="T288" i="16" s="1"/>
  <c r="V288" i="16" s="1"/>
  <c r="P284" i="16"/>
  <c r="R284" i="16" s="1"/>
  <c r="T284" i="16" s="1"/>
  <c r="V284" i="16" s="1"/>
  <c r="P280" i="16"/>
  <c r="R280" i="16" s="1"/>
  <c r="T280" i="16" s="1"/>
  <c r="V280" i="16" s="1"/>
  <c r="P276" i="16"/>
  <c r="R276" i="16" s="1"/>
  <c r="T276" i="16" s="1"/>
  <c r="V276" i="16" s="1"/>
  <c r="P272" i="16"/>
  <c r="R272" i="16" s="1"/>
  <c r="T272" i="16" s="1"/>
  <c r="V272" i="16" s="1"/>
  <c r="P268" i="16"/>
  <c r="R268" i="16" s="1"/>
  <c r="T268" i="16" s="1"/>
  <c r="V268" i="16" s="1"/>
  <c r="P264" i="16"/>
  <c r="R264" i="16" s="1"/>
  <c r="T264" i="16" s="1"/>
  <c r="V264" i="16" s="1"/>
  <c r="P260" i="16"/>
  <c r="R260" i="16" s="1"/>
  <c r="T260" i="16" s="1"/>
  <c r="V260" i="16" s="1"/>
  <c r="P301" i="16"/>
  <c r="R301" i="16" s="1"/>
  <c r="T301" i="16" s="1"/>
  <c r="V301" i="16" s="1"/>
  <c r="P293" i="16"/>
  <c r="R293" i="16" s="1"/>
  <c r="T293" i="16" s="1"/>
  <c r="V293" i="16" s="1"/>
  <c r="P289" i="16"/>
  <c r="R289" i="16" s="1"/>
  <c r="T289" i="16" s="1"/>
  <c r="V289" i="16" s="1"/>
  <c r="P285" i="16"/>
  <c r="R285" i="16" s="1"/>
  <c r="T285" i="16" s="1"/>
  <c r="V285" i="16" s="1"/>
  <c r="P281" i="16"/>
  <c r="R281" i="16" s="1"/>
  <c r="T281" i="16" s="1"/>
  <c r="V281" i="16" s="1"/>
  <c r="P277" i="16"/>
  <c r="R277" i="16" s="1"/>
  <c r="T277" i="16" s="1"/>
  <c r="V277" i="16" s="1"/>
  <c r="P273" i="16"/>
  <c r="R273" i="16" s="1"/>
  <c r="T273" i="16" s="1"/>
  <c r="V273" i="16" s="1"/>
  <c r="P269" i="16"/>
  <c r="R269" i="16" s="1"/>
  <c r="T269" i="16" s="1"/>
  <c r="V269" i="16" s="1"/>
  <c r="P265" i="16"/>
  <c r="R265" i="16" s="1"/>
  <c r="T265" i="16" s="1"/>
  <c r="V265" i="16" s="1"/>
  <c r="P261" i="16"/>
  <c r="R261" i="16" s="1"/>
  <c r="T261" i="16" s="1"/>
  <c r="V261" i="16" s="1"/>
  <c r="P294" i="16"/>
  <c r="R294" i="16" s="1"/>
  <c r="T294" i="16" s="1"/>
  <c r="V294" i="16" s="1"/>
  <c r="P290" i="16"/>
  <c r="R290" i="16" s="1"/>
  <c r="T290" i="16" s="1"/>
  <c r="V290" i="16" s="1"/>
  <c r="P286" i="16"/>
  <c r="R286" i="16" s="1"/>
  <c r="T286" i="16" s="1"/>
  <c r="V286" i="16" s="1"/>
  <c r="P282" i="16"/>
  <c r="R282" i="16" s="1"/>
  <c r="T282" i="16" s="1"/>
  <c r="V282" i="16" s="1"/>
  <c r="P278" i="16"/>
  <c r="R278" i="16" s="1"/>
  <c r="T278" i="16" s="1"/>
  <c r="V278" i="16" s="1"/>
  <c r="P274" i="16"/>
  <c r="R274" i="16" s="1"/>
  <c r="T274" i="16" s="1"/>
  <c r="V274" i="16" s="1"/>
  <c r="P270" i="16"/>
  <c r="R270" i="16" s="1"/>
  <c r="T270" i="16" s="1"/>
  <c r="V270" i="16" s="1"/>
  <c r="P266" i="16"/>
  <c r="R266" i="16" s="1"/>
  <c r="T266" i="16" s="1"/>
  <c r="V266" i="16" s="1"/>
  <c r="P262" i="16"/>
  <c r="R262" i="16" s="1"/>
  <c r="T262" i="16" s="1"/>
  <c r="V262" i="16" s="1"/>
  <c r="P291" i="16"/>
  <c r="R291" i="16" s="1"/>
  <c r="T291" i="16" s="1"/>
  <c r="V291" i="16" s="1"/>
  <c r="P283" i="16"/>
  <c r="R283" i="16" s="1"/>
  <c r="T283" i="16" s="1"/>
  <c r="V283" i="16" s="1"/>
  <c r="P271" i="16"/>
  <c r="R271" i="16" s="1"/>
  <c r="T271" i="16" s="1"/>
  <c r="V271" i="16" s="1"/>
  <c r="P263" i="16"/>
  <c r="R263" i="16" s="1"/>
  <c r="T263" i="16" s="1"/>
  <c r="V263" i="16" s="1"/>
  <c r="P255" i="16"/>
  <c r="R255" i="16" s="1"/>
  <c r="T255" i="16" s="1"/>
  <c r="V255" i="16" s="1"/>
  <c r="P251" i="16"/>
  <c r="R251" i="16" s="1"/>
  <c r="T251" i="16" s="1"/>
  <c r="V251" i="16" s="1"/>
  <c r="P247" i="16"/>
  <c r="R247" i="16" s="1"/>
  <c r="T247" i="16" s="1"/>
  <c r="V247" i="16" s="1"/>
  <c r="P295" i="16"/>
  <c r="R295" i="16" s="1"/>
  <c r="T295" i="16" s="1"/>
  <c r="V295" i="16" s="1"/>
  <c r="P275" i="16"/>
  <c r="R275" i="16" s="1"/>
  <c r="T275" i="16" s="1"/>
  <c r="V275" i="16" s="1"/>
  <c r="P259" i="16"/>
  <c r="R259" i="16" s="1"/>
  <c r="T259" i="16" s="1"/>
  <c r="V259" i="16" s="1"/>
  <c r="P256" i="16"/>
  <c r="R256" i="16" s="1"/>
  <c r="T256" i="16" s="1"/>
  <c r="V256" i="16" s="1"/>
  <c r="P252" i="16"/>
  <c r="R252" i="16" s="1"/>
  <c r="T252" i="16" s="1"/>
  <c r="V252" i="16" s="1"/>
  <c r="P248" i="16"/>
  <c r="R248" i="16" s="1"/>
  <c r="T248" i="16" s="1"/>
  <c r="V248" i="16" s="1"/>
  <c r="P243" i="16"/>
  <c r="R243" i="16" s="1"/>
  <c r="T243" i="16" s="1"/>
  <c r="V243" i="16" s="1"/>
  <c r="P241" i="16"/>
  <c r="R241" i="16" s="1"/>
  <c r="T241" i="16" s="1"/>
  <c r="V241" i="16" s="1"/>
  <c r="P239" i="16"/>
  <c r="R239" i="16" s="1"/>
  <c r="T239" i="16" s="1"/>
  <c r="V239" i="16" s="1"/>
  <c r="P237" i="16"/>
  <c r="R237" i="16" s="1"/>
  <c r="T237" i="16" s="1"/>
  <c r="V237" i="16" s="1"/>
  <c r="P287" i="16"/>
  <c r="R287" i="16" s="1"/>
  <c r="T287" i="16" s="1"/>
  <c r="V287" i="16" s="1"/>
  <c r="P279" i="16"/>
  <c r="R279" i="16" s="1"/>
  <c r="T279" i="16" s="1"/>
  <c r="V279" i="16" s="1"/>
  <c r="P267" i="16"/>
  <c r="R267" i="16" s="1"/>
  <c r="T267" i="16" s="1"/>
  <c r="V267" i="16" s="1"/>
  <c r="P257" i="16"/>
  <c r="R257" i="16" s="1"/>
  <c r="T257" i="16" s="1"/>
  <c r="V257" i="16" s="1"/>
  <c r="P253" i="16"/>
  <c r="R253" i="16" s="1"/>
  <c r="T253" i="16" s="1"/>
  <c r="V253" i="16" s="1"/>
  <c r="P249" i="16"/>
  <c r="R249" i="16" s="1"/>
  <c r="T249" i="16" s="1"/>
  <c r="V249" i="16" s="1"/>
  <c r="P245" i="16"/>
  <c r="R245" i="16" s="1"/>
  <c r="T245" i="16" s="1"/>
  <c r="V245" i="16" s="1"/>
  <c r="P258" i="16"/>
  <c r="R258" i="16" s="1"/>
  <c r="T258" i="16" s="1"/>
  <c r="V258" i="16" s="1"/>
  <c r="P240" i="16"/>
  <c r="R240" i="16" s="1"/>
  <c r="T240" i="16" s="1"/>
  <c r="V240" i="16" s="1"/>
  <c r="P230" i="16"/>
  <c r="R230" i="16" s="1"/>
  <c r="T230" i="16" s="1"/>
  <c r="V230" i="16" s="1"/>
  <c r="P228" i="16"/>
  <c r="R228" i="16" s="1"/>
  <c r="T228" i="16" s="1"/>
  <c r="V228" i="16" s="1"/>
  <c r="P225" i="16"/>
  <c r="R225" i="16" s="1"/>
  <c r="T225" i="16" s="1"/>
  <c r="V225" i="16" s="1"/>
  <c r="P221" i="16"/>
  <c r="R221" i="16" s="1"/>
  <c r="T221" i="16" s="1"/>
  <c r="V221" i="16" s="1"/>
  <c r="P217" i="16"/>
  <c r="R217" i="16" s="1"/>
  <c r="T217" i="16" s="1"/>
  <c r="V217" i="16" s="1"/>
  <c r="P211" i="16"/>
  <c r="R211" i="16" s="1"/>
  <c r="T211" i="16" s="1"/>
  <c r="V211" i="16" s="1"/>
  <c r="P236" i="16"/>
  <c r="R236" i="16" s="1"/>
  <c r="T236" i="16" s="1"/>
  <c r="V236" i="16" s="1"/>
  <c r="P235" i="16"/>
  <c r="R235" i="16" s="1"/>
  <c r="T235" i="16" s="1"/>
  <c r="V235" i="16" s="1"/>
  <c r="P233" i="16"/>
  <c r="R233" i="16" s="1"/>
  <c r="T233" i="16" s="1"/>
  <c r="V233" i="16" s="1"/>
  <c r="P231" i="16"/>
  <c r="R231" i="16" s="1"/>
  <c r="T231" i="16" s="1"/>
  <c r="V231" i="16" s="1"/>
  <c r="P216" i="16"/>
  <c r="R216" i="16" s="1"/>
  <c r="T216" i="16" s="1"/>
  <c r="V216" i="16" s="1"/>
  <c r="P214" i="16"/>
  <c r="R214" i="16" s="1"/>
  <c r="T214" i="16" s="1"/>
  <c r="V214" i="16" s="1"/>
  <c r="P246" i="16"/>
  <c r="R246" i="16" s="1"/>
  <c r="T246" i="16" s="1"/>
  <c r="V246" i="16" s="1"/>
  <c r="P242" i="16"/>
  <c r="R242" i="16" s="1"/>
  <c r="T242" i="16" s="1"/>
  <c r="V242" i="16" s="1"/>
  <c r="P226" i="16"/>
  <c r="R226" i="16" s="1"/>
  <c r="T226" i="16" s="1"/>
  <c r="V226" i="16" s="1"/>
  <c r="P222" i="16"/>
  <c r="R222" i="16" s="1"/>
  <c r="T222" i="16" s="1"/>
  <c r="V222" i="16" s="1"/>
  <c r="P218" i="16"/>
  <c r="R218" i="16" s="1"/>
  <c r="T218" i="16" s="1"/>
  <c r="V218" i="16" s="1"/>
  <c r="P212" i="16"/>
  <c r="R212" i="16" s="1"/>
  <c r="T212" i="16" s="1"/>
  <c r="V212" i="16" s="1"/>
  <c r="P208" i="16"/>
  <c r="R208" i="16" s="1"/>
  <c r="T208" i="16" s="1"/>
  <c r="V208" i="16" s="1"/>
  <c r="P207" i="16"/>
  <c r="R207" i="16" s="1"/>
  <c r="T207" i="16" s="1"/>
  <c r="V207" i="16" s="1"/>
  <c r="P238" i="16"/>
  <c r="R238" i="16" s="1"/>
  <c r="T238" i="16" s="1"/>
  <c r="V238" i="16" s="1"/>
  <c r="P234" i="16"/>
  <c r="R234" i="16" s="1"/>
  <c r="T234" i="16" s="1"/>
  <c r="V234" i="16" s="1"/>
  <c r="P232" i="16"/>
  <c r="R232" i="16" s="1"/>
  <c r="T232" i="16" s="1"/>
  <c r="V232" i="16" s="1"/>
  <c r="P224" i="16"/>
  <c r="R224" i="16" s="1"/>
  <c r="T224" i="16" s="1"/>
  <c r="V224" i="16" s="1"/>
  <c r="P250" i="16"/>
  <c r="R250" i="16" s="1"/>
  <c r="T250" i="16" s="1"/>
  <c r="V250" i="16" s="1"/>
  <c r="P244" i="16"/>
  <c r="R244" i="16" s="1"/>
  <c r="T244" i="16" s="1"/>
  <c r="V244" i="16" s="1"/>
  <c r="P229" i="16"/>
  <c r="R229" i="16" s="1"/>
  <c r="T229" i="16" s="1"/>
  <c r="V229" i="16" s="1"/>
  <c r="P227" i="16"/>
  <c r="R227" i="16" s="1"/>
  <c r="T227" i="16" s="1"/>
  <c r="V227" i="16" s="1"/>
  <c r="P223" i="16"/>
  <c r="R223" i="16" s="1"/>
  <c r="T223" i="16" s="1"/>
  <c r="V223" i="16" s="1"/>
  <c r="P219" i="16"/>
  <c r="R219" i="16" s="1"/>
  <c r="T219" i="16" s="1"/>
  <c r="V219" i="16" s="1"/>
  <c r="P215" i="16"/>
  <c r="R215" i="16" s="1"/>
  <c r="T215" i="16" s="1"/>
  <c r="V215" i="16" s="1"/>
  <c r="P213" i="16"/>
  <c r="R213" i="16" s="1"/>
  <c r="T213" i="16" s="1"/>
  <c r="V213" i="16" s="1"/>
  <c r="P209" i="16"/>
  <c r="R209" i="16" s="1"/>
  <c r="T209" i="16" s="1"/>
  <c r="V209" i="16" s="1"/>
  <c r="P254" i="16"/>
  <c r="R254" i="16" s="1"/>
  <c r="T254" i="16" s="1"/>
  <c r="V254" i="16" s="1"/>
  <c r="P220" i="16"/>
  <c r="R220" i="16" s="1"/>
  <c r="T220" i="16" s="1"/>
  <c r="V220" i="16" s="1"/>
  <c r="P210" i="16"/>
  <c r="R210" i="16" s="1"/>
  <c r="T210" i="16" s="1"/>
  <c r="V210" i="16" s="1"/>
  <c r="B325" i="16"/>
  <c r="N339" i="16"/>
  <c r="K324" i="16"/>
  <c r="B332" i="13"/>
  <c r="K332" i="13" s="1"/>
  <c r="V304" i="13"/>
  <c r="G325" i="13" s="1"/>
  <c r="X304" i="13"/>
  <c r="I332" i="13" s="1"/>
  <c r="W304" i="13"/>
  <c r="F339" i="13" s="1"/>
  <c r="R27" i="2"/>
  <c r="T27" i="2" s="1"/>
  <c r="E26" i="2" s="1"/>
  <c r="S33" i="2"/>
  <c r="R26" i="2"/>
  <c r="E24" i="2"/>
  <c r="E23" i="2"/>
  <c r="W6" i="13"/>
  <c r="U207" i="16" l="1"/>
  <c r="X207" i="16" s="1"/>
  <c r="S207" i="16"/>
  <c r="W207" i="16" s="1"/>
  <c r="S221" i="16"/>
  <c r="W221" i="16" s="1"/>
  <c r="U221" i="16"/>
  <c r="X221" i="16" s="1"/>
  <c r="S220" i="16"/>
  <c r="W220" i="16" s="1"/>
  <c r="U220" i="16"/>
  <c r="X220" i="16" s="1"/>
  <c r="U252" i="16"/>
  <c r="X252" i="16" s="1"/>
  <c r="S252" i="16"/>
  <c r="W252" i="16" s="1"/>
  <c r="S234" i="16"/>
  <c r="W234" i="16" s="1"/>
  <c r="U234" i="16"/>
  <c r="X234" i="16" s="1"/>
  <c r="U269" i="16"/>
  <c r="X269" i="16" s="1"/>
  <c r="S269" i="16"/>
  <c r="W269" i="16" s="1"/>
  <c r="S280" i="16"/>
  <c r="W280" i="16" s="1"/>
  <c r="U280" i="16"/>
  <c r="X280" i="16" s="1"/>
  <c r="U296" i="16"/>
  <c r="X296" i="16" s="1"/>
  <c r="S296" i="16"/>
  <c r="W296" i="16" s="1"/>
  <c r="S271" i="16"/>
  <c r="W271" i="16" s="1"/>
  <c r="U271" i="16"/>
  <c r="X271" i="16" s="1"/>
  <c r="S223" i="16"/>
  <c r="W223" i="16" s="1"/>
  <c r="U223" i="16"/>
  <c r="X223" i="16" s="1"/>
  <c r="U208" i="16"/>
  <c r="X208" i="16" s="1"/>
  <c r="S208" i="16"/>
  <c r="W208" i="16" s="1"/>
  <c r="U226" i="16"/>
  <c r="X226" i="16" s="1"/>
  <c r="S226" i="16"/>
  <c r="W226" i="16" s="1"/>
  <c r="U229" i="16"/>
  <c r="X229" i="16" s="1"/>
  <c r="S229" i="16"/>
  <c r="W229" i="16" s="1"/>
  <c r="S225" i="16"/>
  <c r="W225" i="16" s="1"/>
  <c r="U225" i="16"/>
  <c r="X225" i="16" s="1"/>
  <c r="U294" i="16"/>
  <c r="X294" i="16" s="1"/>
  <c r="S294" i="16"/>
  <c r="W294" i="16" s="1"/>
  <c r="S210" i="16"/>
  <c r="W210" i="16" s="1"/>
  <c r="U210" i="16"/>
  <c r="X210" i="16" s="1"/>
  <c r="S224" i="16"/>
  <c r="W224" i="16" s="1"/>
  <c r="U224" i="16"/>
  <c r="X224" i="16" s="1"/>
  <c r="S233" i="16"/>
  <c r="W233" i="16" s="1"/>
  <c r="U233" i="16"/>
  <c r="X233" i="16" s="1"/>
  <c r="S241" i="16"/>
  <c r="W241" i="16" s="1"/>
  <c r="U241" i="16"/>
  <c r="X241" i="16" s="1"/>
  <c r="U256" i="16"/>
  <c r="X256" i="16" s="1"/>
  <c r="S256" i="16"/>
  <c r="W256" i="16" s="1"/>
  <c r="S255" i="16"/>
  <c r="W255" i="16" s="1"/>
  <c r="U255" i="16"/>
  <c r="X255" i="16" s="1"/>
  <c r="U290" i="16"/>
  <c r="X290" i="16" s="1"/>
  <c r="S290" i="16"/>
  <c r="W290" i="16" s="1"/>
  <c r="S236" i="16"/>
  <c r="W236" i="16" s="1"/>
  <c r="U236" i="16"/>
  <c r="X236" i="16" s="1"/>
  <c r="S244" i="16"/>
  <c r="W244" i="16" s="1"/>
  <c r="U244" i="16"/>
  <c r="X244" i="16" s="1"/>
  <c r="S258" i="16"/>
  <c r="W258" i="16" s="1"/>
  <c r="U258" i="16"/>
  <c r="X258" i="16" s="1"/>
  <c r="U273" i="16"/>
  <c r="X273" i="16" s="1"/>
  <c r="S273" i="16"/>
  <c r="W273" i="16" s="1"/>
  <c r="U289" i="16"/>
  <c r="X289" i="16" s="1"/>
  <c r="S289" i="16"/>
  <c r="W289" i="16" s="1"/>
  <c r="S268" i="16"/>
  <c r="W268" i="16" s="1"/>
  <c r="U268" i="16"/>
  <c r="X268" i="16" s="1"/>
  <c r="S284" i="16"/>
  <c r="W284" i="16" s="1"/>
  <c r="U284" i="16"/>
  <c r="X284" i="16" s="1"/>
  <c r="S259" i="16"/>
  <c r="W259" i="16" s="1"/>
  <c r="U259" i="16"/>
  <c r="X259" i="16" s="1"/>
  <c r="S275" i="16"/>
  <c r="W275" i="16" s="1"/>
  <c r="U275" i="16"/>
  <c r="X275" i="16" s="1"/>
  <c r="S291" i="16"/>
  <c r="W291" i="16" s="1"/>
  <c r="U291" i="16"/>
  <c r="X291" i="16" s="1"/>
  <c r="S297" i="16"/>
  <c r="W297" i="16" s="1"/>
  <c r="U297" i="16"/>
  <c r="X297" i="16" s="1"/>
  <c r="U222" i="16"/>
  <c r="X222" i="16" s="1"/>
  <c r="S222" i="16"/>
  <c r="W222" i="16" s="1"/>
  <c r="U274" i="16"/>
  <c r="X274" i="16" s="1"/>
  <c r="S274" i="16"/>
  <c r="W274" i="16" s="1"/>
  <c r="S239" i="16"/>
  <c r="W239" i="16" s="1"/>
  <c r="U239" i="16"/>
  <c r="X239" i="16" s="1"/>
  <c r="U282" i="16"/>
  <c r="X282" i="16" s="1"/>
  <c r="S282" i="16"/>
  <c r="W282" i="16" s="1"/>
  <c r="S254" i="16"/>
  <c r="W254" i="16" s="1"/>
  <c r="U254" i="16"/>
  <c r="X254" i="16" s="1"/>
  <c r="S264" i="16"/>
  <c r="W264" i="16" s="1"/>
  <c r="U264" i="16"/>
  <c r="X264" i="16" s="1"/>
  <c r="S287" i="16"/>
  <c r="W287" i="16" s="1"/>
  <c r="U287" i="16"/>
  <c r="X287" i="16" s="1"/>
  <c r="N340" i="16"/>
  <c r="B326" i="16"/>
  <c r="K325" i="16"/>
  <c r="U227" i="16"/>
  <c r="X227" i="16" s="1"/>
  <c r="S227" i="16"/>
  <c r="W227" i="16" s="1"/>
  <c r="U212" i="16"/>
  <c r="X212" i="16" s="1"/>
  <c r="S212" i="16"/>
  <c r="W212" i="16" s="1"/>
  <c r="U245" i="16"/>
  <c r="X245" i="16" s="1"/>
  <c r="S245" i="16"/>
  <c r="W245" i="16" s="1"/>
  <c r="U211" i="16"/>
  <c r="X211" i="16" s="1"/>
  <c r="S211" i="16"/>
  <c r="W211" i="16" s="1"/>
  <c r="U228" i="16"/>
  <c r="X228" i="16" s="1"/>
  <c r="S228" i="16"/>
  <c r="W228" i="16" s="1"/>
  <c r="U209" i="16"/>
  <c r="X209" i="16" s="1"/>
  <c r="S209" i="16"/>
  <c r="W209" i="16" s="1"/>
  <c r="S214" i="16"/>
  <c r="W214" i="16" s="1"/>
  <c r="U214" i="16"/>
  <c r="X214" i="16" s="1"/>
  <c r="U253" i="16"/>
  <c r="X253" i="16" s="1"/>
  <c r="S253" i="16"/>
  <c r="W253" i="16" s="1"/>
  <c r="S235" i="16"/>
  <c r="W235" i="16" s="1"/>
  <c r="U235" i="16"/>
  <c r="X235" i="16" s="1"/>
  <c r="S243" i="16"/>
  <c r="W243" i="16" s="1"/>
  <c r="U243" i="16"/>
  <c r="X243" i="16" s="1"/>
  <c r="U261" i="16"/>
  <c r="X261" i="16" s="1"/>
  <c r="S261" i="16"/>
  <c r="W261" i="16" s="1"/>
  <c r="U262" i="16"/>
  <c r="X262" i="16" s="1"/>
  <c r="S262" i="16"/>
  <c r="W262" i="16" s="1"/>
  <c r="U300" i="16"/>
  <c r="X300" i="16" s="1"/>
  <c r="S300" i="16"/>
  <c r="W300" i="16" s="1"/>
  <c r="S238" i="16"/>
  <c r="W238" i="16" s="1"/>
  <c r="U238" i="16"/>
  <c r="X238" i="16" s="1"/>
  <c r="S246" i="16"/>
  <c r="W246" i="16" s="1"/>
  <c r="U246" i="16"/>
  <c r="X246" i="16" s="1"/>
  <c r="U278" i="16"/>
  <c r="X278" i="16" s="1"/>
  <c r="S278" i="16"/>
  <c r="W278" i="16" s="1"/>
  <c r="U277" i="16"/>
  <c r="X277" i="16" s="1"/>
  <c r="S277" i="16"/>
  <c r="W277" i="16" s="1"/>
  <c r="U293" i="16"/>
  <c r="X293" i="16" s="1"/>
  <c r="S293" i="16"/>
  <c r="W293" i="16" s="1"/>
  <c r="S272" i="16"/>
  <c r="W272" i="16" s="1"/>
  <c r="U272" i="16"/>
  <c r="X272" i="16" s="1"/>
  <c r="S288" i="16"/>
  <c r="W288" i="16" s="1"/>
  <c r="U288" i="16"/>
  <c r="X288" i="16" s="1"/>
  <c r="S263" i="16"/>
  <c r="W263" i="16" s="1"/>
  <c r="U263" i="16"/>
  <c r="X263" i="16" s="1"/>
  <c r="S279" i="16"/>
  <c r="W279" i="16" s="1"/>
  <c r="U279" i="16"/>
  <c r="X279" i="16" s="1"/>
  <c r="S295" i="16"/>
  <c r="W295" i="16" s="1"/>
  <c r="U295" i="16"/>
  <c r="X295" i="16" s="1"/>
  <c r="S301" i="16"/>
  <c r="W301" i="16" s="1"/>
  <c r="U301" i="16"/>
  <c r="X301" i="16" s="1"/>
  <c r="S213" i="16"/>
  <c r="W213" i="16" s="1"/>
  <c r="U213" i="16"/>
  <c r="X213" i="16" s="1"/>
  <c r="S215" i="16"/>
  <c r="W215" i="16" s="1"/>
  <c r="U215" i="16"/>
  <c r="X215" i="16" s="1"/>
  <c r="U257" i="16"/>
  <c r="X257" i="16" s="1"/>
  <c r="S257" i="16"/>
  <c r="W257" i="16" s="1"/>
  <c r="U231" i="16"/>
  <c r="X231" i="16" s="1"/>
  <c r="S231" i="16"/>
  <c r="W231" i="16" s="1"/>
  <c r="S251" i="16"/>
  <c r="W251" i="16" s="1"/>
  <c r="U251" i="16"/>
  <c r="X251" i="16" s="1"/>
  <c r="U242" i="16"/>
  <c r="X242" i="16" s="1"/>
  <c r="S242" i="16"/>
  <c r="W242" i="16" s="1"/>
  <c r="U285" i="16"/>
  <c r="X285" i="16" s="1"/>
  <c r="S285" i="16"/>
  <c r="W285" i="16" s="1"/>
  <c r="S298" i="16"/>
  <c r="W298" i="16" s="1"/>
  <c r="U298" i="16"/>
  <c r="X298" i="16" s="1"/>
  <c r="V304" i="16"/>
  <c r="U249" i="16"/>
  <c r="X249" i="16" s="1"/>
  <c r="S249" i="16"/>
  <c r="W249" i="16" s="1"/>
  <c r="U218" i="16"/>
  <c r="X218" i="16" s="1"/>
  <c r="S218" i="16"/>
  <c r="W218" i="16" s="1"/>
  <c r="U286" i="16"/>
  <c r="X286" i="16" s="1"/>
  <c r="S286" i="16"/>
  <c r="W286" i="16" s="1"/>
  <c r="U217" i="16"/>
  <c r="X217" i="16" s="1"/>
  <c r="S217" i="16"/>
  <c r="W217" i="16" s="1"/>
  <c r="S230" i="16"/>
  <c r="W230" i="16" s="1"/>
  <c r="U230" i="16"/>
  <c r="X230" i="16" s="1"/>
  <c r="U219" i="16"/>
  <c r="X219" i="16" s="1"/>
  <c r="S219" i="16"/>
  <c r="W219" i="16" s="1"/>
  <c r="S216" i="16"/>
  <c r="W216" i="16" s="1"/>
  <c r="U216" i="16"/>
  <c r="X216" i="16" s="1"/>
  <c r="U266" i="16"/>
  <c r="X266" i="16" s="1"/>
  <c r="S266" i="16"/>
  <c r="W266" i="16" s="1"/>
  <c r="U237" i="16"/>
  <c r="X237" i="16" s="1"/>
  <c r="S237" i="16"/>
  <c r="W237" i="16" s="1"/>
  <c r="U248" i="16"/>
  <c r="X248" i="16" s="1"/>
  <c r="S248" i="16"/>
  <c r="W248" i="16" s="1"/>
  <c r="S247" i="16"/>
  <c r="W247" i="16" s="1"/>
  <c r="U247" i="16"/>
  <c r="X247" i="16" s="1"/>
  <c r="U270" i="16"/>
  <c r="X270" i="16" s="1"/>
  <c r="S270" i="16"/>
  <c r="W270" i="16" s="1"/>
  <c r="S232" i="16"/>
  <c r="W232" i="16" s="1"/>
  <c r="U232" i="16"/>
  <c r="X232" i="16" s="1"/>
  <c r="S240" i="16"/>
  <c r="W240" i="16" s="1"/>
  <c r="U240" i="16"/>
  <c r="X240" i="16" s="1"/>
  <c r="S250" i="16"/>
  <c r="W250" i="16" s="1"/>
  <c r="U250" i="16"/>
  <c r="X250" i="16" s="1"/>
  <c r="U265" i="16"/>
  <c r="X265" i="16" s="1"/>
  <c r="S265" i="16"/>
  <c r="W265" i="16" s="1"/>
  <c r="U281" i="16"/>
  <c r="X281" i="16" s="1"/>
  <c r="S281" i="16"/>
  <c r="W281" i="16" s="1"/>
  <c r="S260" i="16"/>
  <c r="W260" i="16" s="1"/>
  <c r="U260" i="16"/>
  <c r="X260" i="16" s="1"/>
  <c r="S276" i="16"/>
  <c r="W276" i="16" s="1"/>
  <c r="U276" i="16"/>
  <c r="X276" i="16" s="1"/>
  <c r="S292" i="16"/>
  <c r="W292" i="16" s="1"/>
  <c r="U292" i="16"/>
  <c r="X292" i="16" s="1"/>
  <c r="S267" i="16"/>
  <c r="W267" i="16" s="1"/>
  <c r="U267" i="16"/>
  <c r="X267" i="16" s="1"/>
  <c r="S283" i="16"/>
  <c r="W283" i="16" s="1"/>
  <c r="U283" i="16"/>
  <c r="X283" i="16" s="1"/>
  <c r="U299" i="16"/>
  <c r="X299" i="16" s="1"/>
  <c r="S299" i="16"/>
  <c r="W299" i="16" s="1"/>
  <c r="B333" i="13"/>
  <c r="K333" i="13" s="1"/>
  <c r="G330" i="13"/>
  <c r="G327" i="13"/>
  <c r="G338" i="13"/>
  <c r="G318" i="13"/>
  <c r="G324" i="13"/>
  <c r="G322" i="13"/>
  <c r="G319" i="13"/>
  <c r="G323" i="13"/>
  <c r="G320" i="13"/>
  <c r="G331" i="13"/>
  <c r="G335" i="13"/>
  <c r="G339" i="13"/>
  <c r="G336" i="13"/>
  <c r="I333" i="13"/>
  <c r="I334" i="13"/>
  <c r="I331" i="13"/>
  <c r="I326" i="13"/>
  <c r="G334" i="13"/>
  <c r="G332" i="13"/>
  <c r="G337" i="13"/>
  <c r="G333" i="13"/>
  <c r="I327" i="13"/>
  <c r="I329" i="13"/>
  <c r="I325" i="13"/>
  <c r="I328" i="13"/>
  <c r="I324" i="13"/>
  <c r="I321" i="13"/>
  <c r="I318" i="13"/>
  <c r="I338" i="13"/>
  <c r="I335" i="13"/>
  <c r="I336" i="13"/>
  <c r="G326" i="13"/>
  <c r="G321" i="13"/>
  <c r="G329" i="13"/>
  <c r="G328" i="13"/>
  <c r="I322" i="13"/>
  <c r="I319" i="13"/>
  <c r="I320" i="13"/>
  <c r="F326" i="13"/>
  <c r="F318" i="13"/>
  <c r="F328" i="13"/>
  <c r="V307" i="13"/>
  <c r="V309" i="13" s="1"/>
  <c r="F332" i="13"/>
  <c r="F329" i="13"/>
  <c r="F322" i="13"/>
  <c r="F338" i="13"/>
  <c r="F331" i="13"/>
  <c r="F327" i="13"/>
  <c r="F334" i="13"/>
  <c r="F320" i="13"/>
  <c r="F336" i="13"/>
  <c r="F333" i="13"/>
  <c r="F325" i="13"/>
  <c r="F319" i="13"/>
  <c r="F335" i="13"/>
  <c r="I337" i="13"/>
  <c r="I330" i="13"/>
  <c r="I323" i="13"/>
  <c r="I339" i="13"/>
  <c r="F324" i="13"/>
  <c r="F321" i="13"/>
  <c r="F337" i="13"/>
  <c r="F330" i="13"/>
  <c r="F323" i="13"/>
  <c r="E15" i="13"/>
  <c r="F15" i="13"/>
  <c r="T26" i="2"/>
  <c r="W28" i="2"/>
  <c r="E28" i="2"/>
  <c r="U6" i="13"/>
  <c r="N341" i="16" l="1"/>
  <c r="B327" i="16"/>
  <c r="K326" i="16"/>
  <c r="W304" i="16"/>
  <c r="G339" i="16"/>
  <c r="G338" i="16"/>
  <c r="G337" i="16"/>
  <c r="G336" i="16"/>
  <c r="G335" i="16"/>
  <c r="G334" i="16"/>
  <c r="G333" i="16"/>
  <c r="G331" i="16"/>
  <c r="G329" i="16"/>
  <c r="G361" i="16"/>
  <c r="G359" i="16"/>
  <c r="G357" i="16"/>
  <c r="G355" i="16"/>
  <c r="G354" i="16"/>
  <c r="G353" i="16"/>
  <c r="G352" i="16"/>
  <c r="G351" i="16"/>
  <c r="G350" i="16"/>
  <c r="G349" i="16"/>
  <c r="G348" i="16"/>
  <c r="G347" i="16"/>
  <c r="G346" i="16"/>
  <c r="G345" i="16"/>
  <c r="G344" i="16"/>
  <c r="G343" i="16"/>
  <c r="G342" i="16"/>
  <c r="G341" i="16"/>
  <c r="G340" i="16"/>
  <c r="G324" i="16"/>
  <c r="G322" i="16"/>
  <c r="G320" i="16"/>
  <c r="G332" i="16"/>
  <c r="G330" i="16"/>
  <c r="G327" i="16"/>
  <c r="G325" i="16"/>
  <c r="G360" i="16"/>
  <c r="G358" i="16"/>
  <c r="G326" i="16"/>
  <c r="G323" i="16"/>
  <c r="G356" i="16"/>
  <c r="G321" i="16"/>
  <c r="G318" i="16"/>
  <c r="G328" i="16"/>
  <c r="G319" i="16"/>
  <c r="X304" i="16"/>
  <c r="B334" i="13"/>
  <c r="K334" i="13" s="1"/>
  <c r="H328" i="13"/>
  <c r="L328" i="13" s="1"/>
  <c r="H336" i="13"/>
  <c r="H318" i="13"/>
  <c r="L318" i="13" s="1"/>
  <c r="H325" i="13"/>
  <c r="L325" i="13" s="1"/>
  <c r="H335" i="13"/>
  <c r="H333" i="13"/>
  <c r="L333" i="13" s="1"/>
  <c r="H334" i="13"/>
  <c r="H320" i="13"/>
  <c r="L320" i="13" s="1"/>
  <c r="H319" i="13"/>
  <c r="L319" i="13" s="1"/>
  <c r="H326" i="13"/>
  <c r="L326" i="13" s="1"/>
  <c r="H322" i="13"/>
  <c r="L322" i="13" s="1"/>
  <c r="H338" i="13"/>
  <c r="H331" i="13"/>
  <c r="L331" i="13" s="1"/>
  <c r="H324" i="13"/>
  <c r="L324" i="13" s="1"/>
  <c r="H321" i="13"/>
  <c r="L321" i="13" s="1"/>
  <c r="H337" i="13"/>
  <c r="H327" i="13"/>
  <c r="L327" i="13" s="1"/>
  <c r="H330" i="13"/>
  <c r="L330" i="13" s="1"/>
  <c r="H323" i="13"/>
  <c r="L323" i="13" s="1"/>
  <c r="H339" i="13"/>
  <c r="H332" i="13"/>
  <c r="L332" i="13" s="1"/>
  <c r="H329" i="13"/>
  <c r="L329" i="13" s="1"/>
  <c r="E27" i="2"/>
  <c r="AJ641" i="11"/>
  <c r="AK641" i="11" s="1"/>
  <c r="D632" i="11"/>
  <c r="E632" i="11" s="1"/>
  <c r="D631" i="11"/>
  <c r="E631" i="11" s="1"/>
  <c r="E630" i="11"/>
  <c r="D630" i="11"/>
  <c r="D629" i="11"/>
  <c r="E629" i="11" s="1"/>
  <c r="D628" i="11"/>
  <c r="E628" i="11" s="1"/>
  <c r="D627" i="11"/>
  <c r="E627" i="11" s="1"/>
  <c r="D626" i="11"/>
  <c r="E626" i="11" s="1"/>
  <c r="D625" i="11"/>
  <c r="E625" i="11" s="1"/>
  <c r="D624" i="11"/>
  <c r="E624" i="11" s="1"/>
  <c r="D623" i="11"/>
  <c r="E623" i="11" s="1"/>
  <c r="D622" i="11"/>
  <c r="E622" i="11" s="1"/>
  <c r="D621" i="11"/>
  <c r="E621" i="11" s="1"/>
  <c r="D620" i="11"/>
  <c r="E620" i="11" s="1"/>
  <c r="D619" i="11"/>
  <c r="E619" i="11" s="1"/>
  <c r="D618" i="11"/>
  <c r="E618" i="11" s="1"/>
  <c r="D617" i="11"/>
  <c r="E617" i="11" s="1"/>
  <c r="D616" i="11"/>
  <c r="E616" i="11" s="1"/>
  <c r="D615" i="11"/>
  <c r="E615" i="11" s="1"/>
  <c r="D614" i="11"/>
  <c r="E614" i="11" s="1"/>
  <c r="D613" i="11"/>
  <c r="E613" i="11" s="1"/>
  <c r="D612" i="11"/>
  <c r="E612" i="11" s="1"/>
  <c r="D611" i="11"/>
  <c r="E611" i="11" s="1"/>
  <c r="D610" i="11"/>
  <c r="E610" i="11" s="1"/>
  <c r="D609" i="11"/>
  <c r="E609" i="11" s="1"/>
  <c r="D608" i="11"/>
  <c r="E608" i="11" s="1"/>
  <c r="D607" i="11"/>
  <c r="E607" i="11" s="1"/>
  <c r="D606" i="11"/>
  <c r="E606" i="11" s="1"/>
  <c r="D605" i="11"/>
  <c r="E605" i="11" s="1"/>
  <c r="D604" i="11"/>
  <c r="E604" i="11" s="1"/>
  <c r="D603" i="11"/>
  <c r="E603" i="11" s="1"/>
  <c r="D602" i="11"/>
  <c r="E602" i="11" s="1"/>
  <c r="D601" i="11"/>
  <c r="E601" i="11" s="1"/>
  <c r="D600" i="11"/>
  <c r="E600" i="11" s="1"/>
  <c r="D599" i="11"/>
  <c r="E599" i="11" s="1"/>
  <c r="D598" i="11"/>
  <c r="E598" i="11" s="1"/>
  <c r="D597" i="11"/>
  <c r="E597" i="11" s="1"/>
  <c r="D596" i="11"/>
  <c r="E596" i="11" s="1"/>
  <c r="D595" i="11"/>
  <c r="E595" i="11" s="1"/>
  <c r="D594" i="11"/>
  <c r="E594" i="11" s="1"/>
  <c r="D593" i="11"/>
  <c r="E593" i="11" s="1"/>
  <c r="D592" i="11"/>
  <c r="E592" i="11" s="1"/>
  <c r="D591" i="11"/>
  <c r="E591" i="11" s="1"/>
  <c r="D590" i="11"/>
  <c r="E590" i="11" s="1"/>
  <c r="D589" i="11"/>
  <c r="E589" i="11" s="1"/>
  <c r="D588" i="11"/>
  <c r="E588" i="11" s="1"/>
  <c r="D587" i="11"/>
  <c r="E587" i="11" s="1"/>
  <c r="D586" i="11"/>
  <c r="E586" i="11" s="1"/>
  <c r="D585" i="11"/>
  <c r="E585" i="11" s="1"/>
  <c r="D584" i="11"/>
  <c r="E584" i="11" s="1"/>
  <c r="E583" i="11"/>
  <c r="D583" i="11"/>
  <c r="D582" i="11"/>
  <c r="E582" i="11" s="1"/>
  <c r="D581" i="11"/>
  <c r="E581" i="11" s="1"/>
  <c r="D580" i="11"/>
  <c r="E580" i="11" s="1"/>
  <c r="D579" i="11"/>
  <c r="E579" i="11" s="1"/>
  <c r="D578" i="11"/>
  <c r="E578" i="11" s="1"/>
  <c r="D577" i="11"/>
  <c r="E577" i="11" s="1"/>
  <c r="D576" i="11"/>
  <c r="E576" i="11" s="1"/>
  <c r="E575" i="11"/>
  <c r="D575" i="11"/>
  <c r="D574" i="11"/>
  <c r="E574" i="11" s="1"/>
  <c r="D573" i="11"/>
  <c r="E573" i="11" s="1"/>
  <c r="D572" i="11"/>
  <c r="E572" i="11" s="1"/>
  <c r="D571" i="11"/>
  <c r="E571" i="11" s="1"/>
  <c r="D570" i="11"/>
  <c r="E570" i="11" s="1"/>
  <c r="D569" i="11"/>
  <c r="E569" i="11" s="1"/>
  <c r="D568" i="11"/>
  <c r="E568" i="11" s="1"/>
  <c r="D567" i="11"/>
  <c r="E567" i="11" s="1"/>
  <c r="D566" i="11"/>
  <c r="E566" i="11" s="1"/>
  <c r="D565" i="11"/>
  <c r="E565" i="11" s="1"/>
  <c r="D564" i="11"/>
  <c r="E564" i="11" s="1"/>
  <c r="D563" i="11"/>
  <c r="E563" i="11" s="1"/>
  <c r="D562" i="11"/>
  <c r="E562" i="11" s="1"/>
  <c r="D561" i="11"/>
  <c r="E561" i="11" s="1"/>
  <c r="D560" i="11"/>
  <c r="E560" i="11" s="1"/>
  <c r="D559" i="11"/>
  <c r="E559" i="11" s="1"/>
  <c r="D558" i="11"/>
  <c r="E558" i="11" s="1"/>
  <c r="D557" i="11"/>
  <c r="E557" i="11" s="1"/>
  <c r="D556" i="11"/>
  <c r="E556" i="11" s="1"/>
  <c r="E667" i="11" s="1"/>
  <c r="D555" i="11"/>
  <c r="E555" i="11" s="1"/>
  <c r="I555" i="11" s="1"/>
  <c r="D554" i="11"/>
  <c r="E554" i="11" s="1"/>
  <c r="D553" i="11"/>
  <c r="E553" i="11" s="1"/>
  <c r="D552" i="11"/>
  <c r="E552" i="11" s="1"/>
  <c r="E663" i="11" s="1"/>
  <c r="D551" i="11"/>
  <c r="E551" i="11" s="1"/>
  <c r="D550" i="11"/>
  <c r="E550" i="11" s="1"/>
  <c r="D549" i="11"/>
  <c r="E549" i="11" s="1"/>
  <c r="D548" i="11"/>
  <c r="E548" i="11" s="1"/>
  <c r="E659" i="11" s="1"/>
  <c r="D547" i="11"/>
  <c r="E547" i="11" s="1"/>
  <c r="I547" i="11" s="1"/>
  <c r="M546" i="11"/>
  <c r="L546" i="11"/>
  <c r="D546" i="11"/>
  <c r="E546" i="11" s="1"/>
  <c r="E657" i="11" s="1"/>
  <c r="D545" i="11"/>
  <c r="E545" i="11" s="1"/>
  <c r="D544" i="11"/>
  <c r="E544" i="11" s="1"/>
  <c r="D543" i="11"/>
  <c r="E543" i="11" s="1"/>
  <c r="D542" i="11"/>
  <c r="E542" i="11" s="1"/>
  <c r="E653" i="11" s="1"/>
  <c r="D541" i="11"/>
  <c r="E541" i="11" s="1"/>
  <c r="I541" i="11" s="1"/>
  <c r="D540" i="11"/>
  <c r="E540" i="11" s="1"/>
  <c r="M539" i="11"/>
  <c r="L539" i="11"/>
  <c r="H539" i="11"/>
  <c r="D539" i="11"/>
  <c r="M538" i="11"/>
  <c r="D396" i="11" s="1"/>
  <c r="L538" i="11"/>
  <c r="H538" i="11"/>
  <c r="H432" i="11" s="1"/>
  <c r="D538" i="11"/>
  <c r="D440" i="11"/>
  <c r="H436" i="11"/>
  <c r="H422" i="11"/>
  <c r="H415" i="11"/>
  <c r="H410" i="11"/>
  <c r="H405" i="11"/>
  <c r="F400" i="11"/>
  <c r="G400" i="11" s="1"/>
  <c r="E396" i="11"/>
  <c r="B394" i="11"/>
  <c r="A394" i="11"/>
  <c r="H389" i="11"/>
  <c r="D389" i="11"/>
  <c r="J355" i="11"/>
  <c r="J333" i="11"/>
  <c r="D233" i="11"/>
  <c r="D224" i="11"/>
  <c r="D217" i="11"/>
  <c r="AA212" i="11"/>
  <c r="T212" i="11" s="1"/>
  <c r="AB211" i="11"/>
  <c r="AB212" i="11" s="1"/>
  <c r="Q194" i="11"/>
  <c r="P194" i="11"/>
  <c r="O194" i="11"/>
  <c r="N194" i="11"/>
  <c r="M194" i="11"/>
  <c r="L194" i="11"/>
  <c r="K194" i="11"/>
  <c r="J194" i="11"/>
  <c r="I194" i="11"/>
  <c r="H194" i="11"/>
  <c r="G194" i="11"/>
  <c r="F194" i="11"/>
  <c r="E194" i="11"/>
  <c r="D194" i="11"/>
  <c r="C194" i="11"/>
  <c r="B194" i="11"/>
  <c r="Q193" i="11"/>
  <c r="P193" i="11"/>
  <c r="O193" i="11"/>
  <c r="N193" i="11"/>
  <c r="M193" i="11"/>
  <c r="L193" i="11"/>
  <c r="K193" i="11"/>
  <c r="J193" i="11"/>
  <c r="I193" i="11"/>
  <c r="H193" i="11"/>
  <c r="G193" i="11"/>
  <c r="F193" i="11"/>
  <c r="E193" i="11"/>
  <c r="D193" i="11"/>
  <c r="C193" i="11"/>
  <c r="B193" i="11"/>
  <c r="Q192" i="11"/>
  <c r="P192" i="11"/>
  <c r="O192" i="11"/>
  <c r="N192" i="11"/>
  <c r="M192" i="11"/>
  <c r="L192" i="11"/>
  <c r="K192" i="11"/>
  <c r="J192" i="11"/>
  <c r="I192" i="11"/>
  <c r="H192" i="11"/>
  <c r="G192" i="11"/>
  <c r="F192" i="11"/>
  <c r="E192" i="11"/>
  <c r="D192" i="11"/>
  <c r="C192" i="11"/>
  <c r="B192" i="11"/>
  <c r="CE138" i="11"/>
  <c r="AG138" i="11"/>
  <c r="CM137" i="11"/>
  <c r="CN137" i="11" s="1"/>
  <c r="CG137" i="11"/>
  <c r="CE137" i="11"/>
  <c r="AG137" i="11"/>
  <c r="CE136" i="11"/>
  <c r="AG136" i="11"/>
  <c r="CE135" i="11"/>
  <c r="AG135" i="11"/>
  <c r="CE134" i="11"/>
  <c r="AG134" i="11"/>
  <c r="CE133" i="11"/>
  <c r="AG133" i="11"/>
  <c r="CE132" i="11"/>
  <c r="AG132" i="11"/>
  <c r="CE131" i="11"/>
  <c r="AG131" i="11"/>
  <c r="CE130" i="11"/>
  <c r="AG130" i="11"/>
  <c r="CE129" i="11"/>
  <c r="AG129" i="11"/>
  <c r="CE128" i="11"/>
  <c r="AG128" i="11"/>
  <c r="CE127" i="11"/>
  <c r="AG127" i="11"/>
  <c r="CE126" i="11"/>
  <c r="AG126" i="11"/>
  <c r="CM125" i="11"/>
  <c r="CO125" i="11" s="1"/>
  <c r="CG125" i="11"/>
  <c r="CI125" i="11" s="1"/>
  <c r="CE125" i="11"/>
  <c r="AG125" i="11"/>
  <c r="CO124" i="11"/>
  <c r="CN124" i="11"/>
  <c r="CI124" i="11"/>
  <c r="CH124" i="11"/>
  <c r="CE124" i="11"/>
  <c r="AG124" i="11"/>
  <c r="CM123" i="11"/>
  <c r="CO123" i="11" s="1"/>
  <c r="CG123" i="11"/>
  <c r="CG122" i="11" s="1"/>
  <c r="CE123" i="11"/>
  <c r="BR123" i="11"/>
  <c r="AG123" i="11"/>
  <c r="CE122" i="11"/>
  <c r="AG122" i="11"/>
  <c r="CE121" i="11"/>
  <c r="AG121" i="11"/>
  <c r="CE120" i="11"/>
  <c r="AG120" i="11"/>
  <c r="CE119" i="11"/>
  <c r="BS119" i="11"/>
  <c r="AG119" i="11"/>
  <c r="CE118" i="11"/>
  <c r="AG118" i="11"/>
  <c r="CE117" i="11"/>
  <c r="AG117" i="11"/>
  <c r="CE116" i="11"/>
  <c r="AG116" i="11"/>
  <c r="CE115" i="11"/>
  <c r="AG115" i="11"/>
  <c r="CE114" i="11"/>
  <c r="AG114" i="11"/>
  <c r="CE113" i="11"/>
  <c r="AG113" i="11"/>
  <c r="CE112" i="11"/>
  <c r="BW112" i="11"/>
  <c r="BT112" i="11"/>
  <c r="AG112" i="11"/>
  <c r="CM111" i="11"/>
  <c r="CN111" i="11" s="1"/>
  <c r="CG111" i="11"/>
  <c r="CH111" i="11" s="1"/>
  <c r="CE111" i="11"/>
  <c r="BT111" i="11"/>
  <c r="AG111" i="11"/>
  <c r="CE110" i="11"/>
  <c r="AG110" i="11"/>
  <c r="CE109" i="11"/>
  <c r="AG109" i="11"/>
  <c r="CE108" i="11"/>
  <c r="BT108" i="11"/>
  <c r="BT109" i="11" s="1"/>
  <c r="AG108" i="11"/>
  <c r="CE107" i="11"/>
  <c r="BT107" i="11"/>
  <c r="AG107" i="11"/>
  <c r="CE106" i="11"/>
  <c r="BT106" i="11"/>
  <c r="AG106" i="11"/>
  <c r="T4" i="11"/>
  <c r="F360" i="16" l="1"/>
  <c r="F358" i="16"/>
  <c r="F356" i="16"/>
  <c r="F328" i="16"/>
  <c r="F326" i="16"/>
  <c r="F323" i="16"/>
  <c r="F321" i="16"/>
  <c r="F319" i="16"/>
  <c r="F318" i="16"/>
  <c r="F339" i="16"/>
  <c r="F338" i="16"/>
  <c r="F337" i="16"/>
  <c r="F336" i="16"/>
  <c r="F335" i="16"/>
  <c r="F334" i="16"/>
  <c r="F333" i="16"/>
  <c r="F331" i="16"/>
  <c r="F329" i="16"/>
  <c r="F361" i="16"/>
  <c r="F359" i="16"/>
  <c r="F357" i="16"/>
  <c r="F355" i="16"/>
  <c r="F354" i="16"/>
  <c r="F353" i="16"/>
  <c r="F352" i="16"/>
  <c r="F351" i="16"/>
  <c r="F350" i="16"/>
  <c r="F349" i="16"/>
  <c r="F348" i="16"/>
  <c r="F347" i="16"/>
  <c r="F346" i="16"/>
  <c r="F345" i="16"/>
  <c r="F344" i="16"/>
  <c r="F343" i="16"/>
  <c r="F342" i="16"/>
  <c r="F341" i="16"/>
  <c r="F340" i="16"/>
  <c r="F324" i="16"/>
  <c r="F322" i="16"/>
  <c r="F320" i="16"/>
  <c r="F325" i="16"/>
  <c r="F332" i="16"/>
  <c r="V307" i="16"/>
  <c r="O336" i="16" s="1"/>
  <c r="F330" i="16"/>
  <c r="F327" i="16"/>
  <c r="I332" i="16"/>
  <c r="I330" i="16"/>
  <c r="I327" i="16"/>
  <c r="I325" i="16"/>
  <c r="I360" i="16"/>
  <c r="I358" i="16"/>
  <c r="I356" i="16"/>
  <c r="I328" i="16"/>
  <c r="I326" i="16"/>
  <c r="I323" i="16"/>
  <c r="I321" i="16"/>
  <c r="I319" i="16"/>
  <c r="I318" i="16"/>
  <c r="I339" i="16"/>
  <c r="I338" i="16"/>
  <c r="I337" i="16"/>
  <c r="I336" i="16"/>
  <c r="I335" i="16"/>
  <c r="I334" i="16"/>
  <c r="I333" i="16"/>
  <c r="I331" i="16"/>
  <c r="I329" i="16"/>
  <c r="I355" i="16"/>
  <c r="I351" i="16"/>
  <c r="I347" i="16"/>
  <c r="I343" i="16"/>
  <c r="I320" i="16"/>
  <c r="I361" i="16"/>
  <c r="I352" i="16"/>
  <c r="I348" i="16"/>
  <c r="I344" i="16"/>
  <c r="I340" i="16"/>
  <c r="I359" i="16"/>
  <c r="I353" i="16"/>
  <c r="I349" i="16"/>
  <c r="I345" i="16"/>
  <c r="I341" i="16"/>
  <c r="I324" i="16"/>
  <c r="I354" i="16"/>
  <c r="I322" i="16"/>
  <c r="I342" i="16"/>
  <c r="I357" i="16"/>
  <c r="I346" i="16"/>
  <c r="I350" i="16"/>
  <c r="N342" i="16"/>
  <c r="B328" i="16"/>
  <c r="K327" i="16"/>
  <c r="L334" i="13"/>
  <c r="B335" i="13"/>
  <c r="K335" i="13" s="1"/>
  <c r="L335" i="13" s="1"/>
  <c r="B100" i="11"/>
  <c r="CM122" i="11"/>
  <c r="CO122" i="11" s="1"/>
  <c r="H406" i="11"/>
  <c r="H411" i="11"/>
  <c r="H417" i="11"/>
  <c r="H426" i="11"/>
  <c r="H438" i="11"/>
  <c r="H407" i="11"/>
  <c r="H413" i="11"/>
  <c r="H419" i="11"/>
  <c r="H428" i="11"/>
  <c r="H409" i="11"/>
  <c r="H414" i="11"/>
  <c r="H421" i="11"/>
  <c r="H430" i="11"/>
  <c r="A22" i="13"/>
  <c r="A23" i="13" s="1"/>
  <c r="A24" i="13" s="1"/>
  <c r="A25" i="13" s="1"/>
  <c r="A26" i="13" s="1"/>
  <c r="A27" i="13" s="1"/>
  <c r="A28" i="13" s="1"/>
  <c r="A29" i="13" s="1"/>
  <c r="A30" i="13" s="1"/>
  <c r="A31" i="13" s="1"/>
  <c r="BS126" i="11"/>
  <c r="CO137" i="11"/>
  <c r="CI111" i="11"/>
  <c r="H418" i="11"/>
  <c r="H423" i="11"/>
  <c r="H434" i="11"/>
  <c r="G27" i="2"/>
  <c r="E32" i="2"/>
  <c r="C101" i="11"/>
  <c r="E137" i="11" s="1"/>
  <c r="CM121" i="11"/>
  <c r="CO121" i="11" s="1"/>
  <c r="H404" i="11"/>
  <c r="H408" i="11"/>
  <c r="H412" i="11"/>
  <c r="H416" i="11"/>
  <c r="H420" i="11"/>
  <c r="H424" i="11"/>
  <c r="T211" i="11"/>
  <c r="T213" i="11"/>
  <c r="J134" i="11"/>
  <c r="BN106" i="11"/>
  <c r="C100" i="11"/>
  <c r="CH122" i="11"/>
  <c r="CG121" i="11"/>
  <c r="CI122" i="11"/>
  <c r="CI123" i="11"/>
  <c r="V211" i="11"/>
  <c r="V213" i="11"/>
  <c r="V212" i="11"/>
  <c r="B289" i="11"/>
  <c r="CO111" i="11"/>
  <c r="CN122" i="11"/>
  <c r="CN123" i="11"/>
  <c r="CM126" i="11"/>
  <c r="CN125" i="11"/>
  <c r="CH123" i="11"/>
  <c r="CG126" i="11"/>
  <c r="CH125" i="11"/>
  <c r="U212" i="11"/>
  <c r="U210" i="11"/>
  <c r="L210" i="11" s="1"/>
  <c r="U211" i="11"/>
  <c r="U213" i="11"/>
  <c r="E655" i="11"/>
  <c r="I544" i="11"/>
  <c r="I592" i="11"/>
  <c r="CH137" i="11"/>
  <c r="E656" i="11"/>
  <c r="I545" i="11"/>
  <c r="E661" i="11"/>
  <c r="I550" i="11"/>
  <c r="K555" i="11"/>
  <c r="J555" i="11"/>
  <c r="CI137" i="11"/>
  <c r="C539" i="11"/>
  <c r="E539" i="11" s="1"/>
  <c r="C538" i="11"/>
  <c r="T210" i="11"/>
  <c r="K210" i="11" s="1"/>
  <c r="E662" i="11"/>
  <c r="I551" i="11"/>
  <c r="H439" i="11"/>
  <c r="H435" i="11"/>
  <c r="H431" i="11"/>
  <c r="H427" i="11"/>
  <c r="H440" i="11"/>
  <c r="H437" i="11"/>
  <c r="H433" i="11"/>
  <c r="H429" i="11"/>
  <c r="H425" i="11"/>
  <c r="E651" i="11"/>
  <c r="I540" i="11"/>
  <c r="E652" i="11"/>
  <c r="E658" i="11"/>
  <c r="E668" i="11"/>
  <c r="I557" i="11"/>
  <c r="K541" i="11"/>
  <c r="J541" i="11"/>
  <c r="K547" i="11"/>
  <c r="J547" i="11"/>
  <c r="E664" i="11"/>
  <c r="I553" i="11"/>
  <c r="E669" i="11"/>
  <c r="I558" i="11"/>
  <c r="E670" i="11"/>
  <c r="E654" i="11"/>
  <c r="I543" i="11"/>
  <c r="E660" i="11"/>
  <c r="I549" i="11"/>
  <c r="E665" i="11"/>
  <c r="I554" i="11"/>
  <c r="E666" i="11"/>
  <c r="P656" i="11"/>
  <c r="I542" i="11"/>
  <c r="I546" i="11"/>
  <c r="I548" i="11"/>
  <c r="I552" i="11"/>
  <c r="I556" i="11"/>
  <c r="I591" i="11"/>
  <c r="I629" i="11"/>
  <c r="I631" i="11"/>
  <c r="I625" i="11"/>
  <c r="I627" i="11"/>
  <c r="I626" i="11"/>
  <c r="I628" i="11"/>
  <c r="I630" i="11"/>
  <c r="I632" i="11"/>
  <c r="AJ42" i="7"/>
  <c r="AK42" i="7"/>
  <c r="AL42" i="7"/>
  <c r="AM42" i="7"/>
  <c r="AN42" i="7"/>
  <c r="AJ43" i="7"/>
  <c r="AK43" i="7"/>
  <c r="AL43" i="7"/>
  <c r="AM43" i="7"/>
  <c r="AN43" i="7"/>
  <c r="AJ44" i="7"/>
  <c r="AK44" i="7"/>
  <c r="AL44" i="7"/>
  <c r="AM44" i="7"/>
  <c r="AN44" i="7"/>
  <c r="AJ45" i="7"/>
  <c r="AK45" i="7"/>
  <c r="AL45" i="7"/>
  <c r="AM45" i="7"/>
  <c r="AN45" i="7"/>
  <c r="AJ46" i="7"/>
  <c r="AK46" i="7"/>
  <c r="AL46" i="7"/>
  <c r="AM46" i="7"/>
  <c r="AN46" i="7"/>
  <c r="AJ47" i="7"/>
  <c r="AK47" i="7"/>
  <c r="AL47" i="7"/>
  <c r="AM47" i="7"/>
  <c r="AN47" i="7"/>
  <c r="AJ48" i="7"/>
  <c r="AK48" i="7"/>
  <c r="AL48" i="7"/>
  <c r="AM48" i="7"/>
  <c r="AN48" i="7"/>
  <c r="AJ49" i="7"/>
  <c r="AK49" i="7"/>
  <c r="AL49" i="7"/>
  <c r="AM49" i="7"/>
  <c r="AN49" i="7"/>
  <c r="AJ50" i="7"/>
  <c r="AK50" i="7"/>
  <c r="AL50" i="7"/>
  <c r="AM50" i="7"/>
  <c r="AN50" i="7"/>
  <c r="AJ51" i="7"/>
  <c r="AK51" i="7"/>
  <c r="AL51" i="7"/>
  <c r="AM51" i="7"/>
  <c r="AN51" i="7"/>
  <c r="AJ52" i="7"/>
  <c r="AK52" i="7"/>
  <c r="AL52" i="7"/>
  <c r="AM52" i="7"/>
  <c r="AN52" i="7"/>
  <c r="AJ53" i="7"/>
  <c r="AK53" i="7"/>
  <c r="AL53" i="7"/>
  <c r="AM53" i="7"/>
  <c r="AN53" i="7"/>
  <c r="AJ54" i="7"/>
  <c r="AK54" i="7"/>
  <c r="AL54" i="7"/>
  <c r="AM54" i="7"/>
  <c r="AN54" i="7"/>
  <c r="AN1" i="7"/>
  <c r="AN2" i="7"/>
  <c r="AN3" i="7"/>
  <c r="AN4" i="7"/>
  <c r="AN5" i="7"/>
  <c r="AN6" i="7"/>
  <c r="AN7" i="7"/>
  <c r="AN8" i="7"/>
  <c r="AN9" i="7"/>
  <c r="AN10" i="7"/>
  <c r="AN11" i="7"/>
  <c r="AN12" i="7"/>
  <c r="AN13" i="7"/>
  <c r="AN14" i="7"/>
  <c r="AN15" i="7"/>
  <c r="AN16" i="7"/>
  <c r="AN17" i="7"/>
  <c r="AN18" i="7"/>
  <c r="AN19" i="7"/>
  <c r="AN20" i="7"/>
  <c r="AN21" i="7"/>
  <c r="AN22" i="7"/>
  <c r="AN23" i="7"/>
  <c r="AN24" i="7"/>
  <c r="AN25" i="7"/>
  <c r="AN26" i="7"/>
  <c r="AN27" i="7"/>
  <c r="AN28" i="7"/>
  <c r="AN29" i="7"/>
  <c r="AN30" i="7"/>
  <c r="AN31" i="7"/>
  <c r="AN32" i="7"/>
  <c r="AN33" i="7"/>
  <c r="AN34" i="7"/>
  <c r="AN35" i="7"/>
  <c r="AN36" i="7"/>
  <c r="AN37" i="7"/>
  <c r="AN38" i="7"/>
  <c r="AN39" i="7"/>
  <c r="AN40" i="7"/>
  <c r="AN41" i="7"/>
  <c r="AJ2" i="7"/>
  <c r="AK2" i="7"/>
  <c r="AL2" i="7"/>
  <c r="AM2" i="7"/>
  <c r="AJ3" i="7"/>
  <c r="AK3" i="7"/>
  <c r="AL3" i="7"/>
  <c r="AM3" i="7"/>
  <c r="AJ4" i="7"/>
  <c r="AK4" i="7"/>
  <c r="AL4" i="7"/>
  <c r="AM4" i="7"/>
  <c r="AJ5" i="7"/>
  <c r="AK5" i="7"/>
  <c r="AL5" i="7"/>
  <c r="AM5" i="7"/>
  <c r="AJ6" i="7"/>
  <c r="AK6" i="7"/>
  <c r="AL6" i="7"/>
  <c r="AM6" i="7"/>
  <c r="AJ7" i="7"/>
  <c r="AK7" i="7"/>
  <c r="AL7" i="7"/>
  <c r="AM7" i="7"/>
  <c r="AJ8" i="7"/>
  <c r="AK8" i="7"/>
  <c r="AL8" i="7"/>
  <c r="AM8" i="7"/>
  <c r="AJ9" i="7"/>
  <c r="AK9" i="7"/>
  <c r="AL9" i="7"/>
  <c r="AM9" i="7"/>
  <c r="AJ10" i="7"/>
  <c r="AK10" i="7"/>
  <c r="AL10" i="7"/>
  <c r="AM10" i="7"/>
  <c r="AJ11" i="7"/>
  <c r="AK11" i="7"/>
  <c r="AL11" i="7"/>
  <c r="AM11" i="7"/>
  <c r="AJ12" i="7"/>
  <c r="AK12" i="7"/>
  <c r="AL12" i="7"/>
  <c r="AQ12" i="7" s="1"/>
  <c r="AM12" i="7"/>
  <c r="AJ13" i="7"/>
  <c r="AK13" i="7"/>
  <c r="AL13" i="7"/>
  <c r="AM13" i="7"/>
  <c r="AJ14" i="7"/>
  <c r="AK14" i="7"/>
  <c r="AL14" i="7"/>
  <c r="AM14" i="7"/>
  <c r="AJ15" i="7"/>
  <c r="AK15" i="7"/>
  <c r="AL15" i="7"/>
  <c r="AM15" i="7"/>
  <c r="AJ16" i="7"/>
  <c r="AK16" i="7"/>
  <c r="AL16" i="7"/>
  <c r="AM16" i="7"/>
  <c r="AJ17" i="7"/>
  <c r="AK17" i="7"/>
  <c r="AL17" i="7"/>
  <c r="AM17" i="7"/>
  <c r="AJ18" i="7"/>
  <c r="AK18" i="7"/>
  <c r="AL18" i="7"/>
  <c r="AM18" i="7"/>
  <c r="AJ19" i="7"/>
  <c r="AK19" i="7"/>
  <c r="AL19" i="7"/>
  <c r="AM19" i="7"/>
  <c r="AJ20" i="7"/>
  <c r="AK20" i="7"/>
  <c r="AL20" i="7"/>
  <c r="AM20" i="7"/>
  <c r="AJ21" i="7"/>
  <c r="AK21" i="7"/>
  <c r="AL21" i="7"/>
  <c r="AM21" i="7"/>
  <c r="AJ22" i="7"/>
  <c r="AK22" i="7"/>
  <c r="AL22" i="7"/>
  <c r="AM22" i="7"/>
  <c r="AJ23" i="7"/>
  <c r="AK23" i="7"/>
  <c r="AL23" i="7"/>
  <c r="AM23" i="7"/>
  <c r="AJ24" i="7"/>
  <c r="AK24" i="7"/>
  <c r="AL24" i="7"/>
  <c r="AM24" i="7"/>
  <c r="AJ25" i="7"/>
  <c r="AK25" i="7"/>
  <c r="AL25" i="7"/>
  <c r="AM25" i="7"/>
  <c r="AJ26" i="7"/>
  <c r="AK26" i="7"/>
  <c r="AL26" i="7"/>
  <c r="AM26" i="7"/>
  <c r="AJ27" i="7"/>
  <c r="AK27" i="7"/>
  <c r="AL27" i="7"/>
  <c r="AM27" i="7"/>
  <c r="AJ28" i="7"/>
  <c r="AK28" i="7"/>
  <c r="AL28" i="7"/>
  <c r="AM28" i="7"/>
  <c r="AJ29" i="7"/>
  <c r="AK29" i="7"/>
  <c r="AL29" i="7"/>
  <c r="AM29" i="7"/>
  <c r="AJ30" i="7"/>
  <c r="AK30" i="7"/>
  <c r="AL30" i="7"/>
  <c r="AM30" i="7"/>
  <c r="AJ31" i="7"/>
  <c r="AK31" i="7"/>
  <c r="AL31" i="7"/>
  <c r="AM31" i="7"/>
  <c r="AJ32" i="7"/>
  <c r="AK32" i="7"/>
  <c r="AL32" i="7"/>
  <c r="AM32" i="7"/>
  <c r="AJ33" i="7"/>
  <c r="AK33" i="7"/>
  <c r="AL33" i="7"/>
  <c r="AM33" i="7"/>
  <c r="AJ34" i="7"/>
  <c r="AK34" i="7"/>
  <c r="AL34" i="7"/>
  <c r="AM34" i="7"/>
  <c r="AJ35" i="7"/>
  <c r="AK35" i="7"/>
  <c r="AL35" i="7"/>
  <c r="AM35" i="7"/>
  <c r="AJ36" i="7"/>
  <c r="AK36" i="7"/>
  <c r="AL36" i="7"/>
  <c r="AM36" i="7"/>
  <c r="AJ37" i="7"/>
  <c r="AK37" i="7"/>
  <c r="AL37" i="7"/>
  <c r="AM37" i="7"/>
  <c r="AJ38" i="7"/>
  <c r="AK38" i="7"/>
  <c r="AL38" i="7"/>
  <c r="AM38" i="7"/>
  <c r="AJ39" i="7"/>
  <c r="AK39" i="7"/>
  <c r="AL39" i="7"/>
  <c r="AM39" i="7"/>
  <c r="AJ40" i="7"/>
  <c r="AK40" i="7"/>
  <c r="AL40" i="7"/>
  <c r="AM40" i="7"/>
  <c r="AJ41" i="7"/>
  <c r="AK41" i="7"/>
  <c r="AL41" i="7"/>
  <c r="AM41" i="7"/>
  <c r="AK1" i="7"/>
  <c r="AL1" i="7"/>
  <c r="AM1" i="7"/>
  <c r="AJ1" i="7"/>
  <c r="AR5" i="8"/>
  <c r="AQ6" i="8" s="1"/>
  <c r="G8" i="7"/>
  <c r="V309" i="16" l="1"/>
  <c r="N343" i="16"/>
  <c r="O343" i="16" s="1"/>
  <c r="B329" i="16"/>
  <c r="K328" i="16"/>
  <c r="H361" i="16"/>
  <c r="H359" i="16"/>
  <c r="L359" i="16" s="1"/>
  <c r="H357" i="16"/>
  <c r="L357" i="16" s="1"/>
  <c r="H355" i="16"/>
  <c r="L355" i="16" s="1"/>
  <c r="H354" i="16"/>
  <c r="H353" i="16"/>
  <c r="H352" i="16"/>
  <c r="L352" i="16" s="1"/>
  <c r="H351" i="16"/>
  <c r="L351" i="16" s="1"/>
  <c r="H350" i="16"/>
  <c r="H349" i="16"/>
  <c r="L349" i="16" s="1"/>
  <c r="H348" i="16"/>
  <c r="L348" i="16" s="1"/>
  <c r="H347" i="16"/>
  <c r="L347" i="16" s="1"/>
  <c r="H346" i="16"/>
  <c r="H345" i="16"/>
  <c r="L345" i="16" s="1"/>
  <c r="H344" i="16"/>
  <c r="L344" i="16" s="1"/>
  <c r="H343" i="16"/>
  <c r="L343" i="16" s="1"/>
  <c r="H342" i="16"/>
  <c r="H341" i="16"/>
  <c r="L341" i="16" s="1"/>
  <c r="H340" i="16"/>
  <c r="L340" i="16" s="1"/>
  <c r="H324" i="16"/>
  <c r="L324" i="16" s="1"/>
  <c r="H322" i="16"/>
  <c r="L322" i="16" s="1"/>
  <c r="H320" i="16"/>
  <c r="L320" i="16" s="1"/>
  <c r="H332" i="16"/>
  <c r="H330" i="16"/>
  <c r="H327" i="16"/>
  <c r="L327" i="16" s="1"/>
  <c r="H325" i="16"/>
  <c r="L325" i="16" s="1"/>
  <c r="H360" i="16"/>
  <c r="L360" i="16" s="1"/>
  <c r="H358" i="16"/>
  <c r="L358" i="16" s="1"/>
  <c r="H356" i="16"/>
  <c r="H328" i="16"/>
  <c r="H326" i="16"/>
  <c r="L326" i="16" s="1"/>
  <c r="H323" i="16"/>
  <c r="L323" i="16" s="1"/>
  <c r="H321" i="16"/>
  <c r="H319" i="16"/>
  <c r="L319" i="16" s="1"/>
  <c r="H318" i="16"/>
  <c r="L318" i="16" s="1"/>
  <c r="H339" i="16"/>
  <c r="H335" i="16"/>
  <c r="H329" i="16"/>
  <c r="H336" i="16"/>
  <c r="H337" i="16"/>
  <c r="H333" i="16"/>
  <c r="H338" i="16"/>
  <c r="H331" i="16"/>
  <c r="H334" i="16"/>
  <c r="O335" i="16"/>
  <c r="L356" i="16"/>
  <c r="O341" i="16"/>
  <c r="O333" i="16"/>
  <c r="O337" i="16"/>
  <c r="L353" i="16"/>
  <c r="O342" i="16"/>
  <c r="O339" i="16"/>
  <c r="L321" i="16"/>
  <c r="O340" i="16"/>
  <c r="O334" i="16"/>
  <c r="O338" i="16"/>
  <c r="L342" i="16"/>
  <c r="L346" i="16"/>
  <c r="L350" i="16"/>
  <c r="L354" i="16"/>
  <c r="L361" i="16"/>
  <c r="B336" i="13"/>
  <c r="K336" i="13" s="1"/>
  <c r="L336" i="13" s="1"/>
  <c r="J118" i="11"/>
  <c r="K119" i="11"/>
  <c r="E110" i="11"/>
  <c r="AJ110" i="11" s="1"/>
  <c r="J106" i="11"/>
  <c r="M106" i="11" s="1"/>
  <c r="K132" i="11"/>
  <c r="D120" i="11"/>
  <c r="J111" i="11"/>
  <c r="E122" i="11"/>
  <c r="AJ122" i="11" s="1"/>
  <c r="D128" i="11"/>
  <c r="M128" i="11" s="1"/>
  <c r="K112" i="11"/>
  <c r="K107" i="11"/>
  <c r="J114" i="11"/>
  <c r="D134" i="11"/>
  <c r="M134" i="11" s="1"/>
  <c r="J108" i="11"/>
  <c r="K125" i="11"/>
  <c r="K122" i="11"/>
  <c r="E115" i="11"/>
  <c r="AJ115" i="11" s="1"/>
  <c r="K110" i="11"/>
  <c r="E128" i="11"/>
  <c r="AJ128" i="11" s="1"/>
  <c r="E138" i="11"/>
  <c r="AJ138" i="11" s="1"/>
  <c r="K116" i="11"/>
  <c r="D114" i="11"/>
  <c r="M114" i="11" s="1"/>
  <c r="E107" i="11"/>
  <c r="AJ107" i="11" s="1"/>
  <c r="D123" i="11"/>
  <c r="M123" i="11" s="1"/>
  <c r="D118" i="11"/>
  <c r="J128" i="11"/>
  <c r="E124" i="11"/>
  <c r="AJ124" i="11" s="1"/>
  <c r="V6" i="13"/>
  <c r="B27" i="13" s="1"/>
  <c r="K124" i="11"/>
  <c r="J130" i="11"/>
  <c r="E133" i="11"/>
  <c r="AJ133" i="11" s="1"/>
  <c r="CN121" i="11"/>
  <c r="Q525" i="11"/>
  <c r="B142" i="11"/>
  <c r="Q516" i="11" s="1"/>
  <c r="D142" i="11"/>
  <c r="S516" i="11" s="1"/>
  <c r="C143" i="11"/>
  <c r="R517" i="11" s="1"/>
  <c r="R526" i="11"/>
  <c r="CM120" i="11"/>
  <c r="CM119" i="11" s="1"/>
  <c r="E109" i="11"/>
  <c r="AJ109" i="11" s="1"/>
  <c r="E113" i="11"/>
  <c r="K117" i="11"/>
  <c r="D121" i="11"/>
  <c r="J131" i="11"/>
  <c r="E111" i="11"/>
  <c r="AJ111" i="11" s="1"/>
  <c r="D115" i="11"/>
  <c r="M115" i="11" s="1"/>
  <c r="J119" i="11"/>
  <c r="K123" i="11"/>
  <c r="D106" i="11"/>
  <c r="Q106" i="11" s="1"/>
  <c r="AH106" i="11" s="1"/>
  <c r="D108" i="11"/>
  <c r="Q108" i="11" s="1"/>
  <c r="E112" i="11"/>
  <c r="E116" i="11"/>
  <c r="AJ116" i="11" s="1"/>
  <c r="J120" i="11"/>
  <c r="J124" i="11"/>
  <c r="J107" i="11"/>
  <c r="K111" i="11"/>
  <c r="J115" i="11"/>
  <c r="D119" i="11"/>
  <c r="F571" i="11" s="1"/>
  <c r="E123" i="11"/>
  <c r="AJ123" i="11" s="1"/>
  <c r="D129" i="11"/>
  <c r="M129" i="11" s="1"/>
  <c r="D136" i="11"/>
  <c r="D125" i="11"/>
  <c r="M125" i="11" s="1"/>
  <c r="E129" i="11"/>
  <c r="K133" i="11"/>
  <c r="K127" i="11"/>
  <c r="D131" i="11"/>
  <c r="Q131" i="11" s="1"/>
  <c r="D135" i="11"/>
  <c r="M135" i="11" s="1"/>
  <c r="J125" i="11"/>
  <c r="K129" i="11"/>
  <c r="E134" i="11"/>
  <c r="AJ134" i="11" s="1"/>
  <c r="D110" i="11"/>
  <c r="M110" i="11" s="1"/>
  <c r="K114" i="11"/>
  <c r="E118" i="11"/>
  <c r="AJ118" i="11" s="1"/>
  <c r="J122" i="11"/>
  <c r="K108" i="11"/>
  <c r="D112" i="11"/>
  <c r="D116" i="11"/>
  <c r="E120" i="11"/>
  <c r="AJ120" i="11" s="1"/>
  <c r="D124" i="11"/>
  <c r="M124" i="11" s="1"/>
  <c r="D107" i="11"/>
  <c r="K109" i="11"/>
  <c r="K113" i="11"/>
  <c r="E117" i="11"/>
  <c r="J121" i="11"/>
  <c r="J126" i="11"/>
  <c r="E108" i="11"/>
  <c r="AJ108" i="11" s="1"/>
  <c r="J112" i="11"/>
  <c r="J116" i="11"/>
  <c r="K120" i="11"/>
  <c r="E125" i="11"/>
  <c r="AJ125" i="11" s="1"/>
  <c r="D130" i="11"/>
  <c r="D138" i="11"/>
  <c r="K126" i="11"/>
  <c r="E130" i="11"/>
  <c r="AJ130" i="11" s="1"/>
  <c r="K134" i="11"/>
  <c r="K128" i="11"/>
  <c r="D132" i="11"/>
  <c r="M132" i="11" s="1"/>
  <c r="D137" i="11"/>
  <c r="M137" i="11" s="1"/>
  <c r="E126" i="11"/>
  <c r="K130" i="11"/>
  <c r="E135" i="11"/>
  <c r="AJ135" i="11" s="1"/>
  <c r="K106" i="11"/>
  <c r="N106" i="11" s="1"/>
  <c r="AI106" i="11" s="1"/>
  <c r="D111" i="11"/>
  <c r="M111" i="11" s="1"/>
  <c r="K115" i="11"/>
  <c r="E119" i="11"/>
  <c r="AJ119" i="11" s="1"/>
  <c r="J123" i="11"/>
  <c r="J109" i="11"/>
  <c r="J113" i="11"/>
  <c r="D117" i="11"/>
  <c r="F569" i="11" s="1"/>
  <c r="E121" i="11"/>
  <c r="AJ121" i="11" s="1"/>
  <c r="D126" i="11"/>
  <c r="Q126" i="11" s="1"/>
  <c r="E106" i="11"/>
  <c r="J110" i="11"/>
  <c r="E114" i="11"/>
  <c r="AJ114" i="11" s="1"/>
  <c r="K118" i="11"/>
  <c r="D122" i="11"/>
  <c r="Q122" i="11" s="1"/>
  <c r="J133" i="11"/>
  <c r="D109" i="11"/>
  <c r="Q109" i="11" s="1"/>
  <c r="D113" i="11"/>
  <c r="Q113" i="11" s="1"/>
  <c r="J117" i="11"/>
  <c r="K121" i="11"/>
  <c r="E127" i="11"/>
  <c r="J132" i="11"/>
  <c r="B322" i="11"/>
  <c r="J127" i="11"/>
  <c r="K131" i="11"/>
  <c r="E136" i="11"/>
  <c r="J129" i="11"/>
  <c r="D133" i="11"/>
  <c r="Q133" i="11" s="1"/>
  <c r="B323" i="11"/>
  <c r="D127" i="11"/>
  <c r="M127" i="11" s="1"/>
  <c r="E131" i="11"/>
  <c r="AJ131" i="11" s="1"/>
  <c r="AQ14" i="7"/>
  <c r="AQ10" i="7"/>
  <c r="AS5" i="8"/>
  <c r="E132" i="11"/>
  <c r="AJ132" i="11" s="1"/>
  <c r="K626" i="11"/>
  <c r="J626" i="11"/>
  <c r="K556" i="11"/>
  <c r="J556" i="11"/>
  <c r="K550" i="11"/>
  <c r="J550" i="11"/>
  <c r="K632" i="11"/>
  <c r="J632" i="11"/>
  <c r="J625" i="11"/>
  <c r="K625" i="11"/>
  <c r="J631" i="11"/>
  <c r="K631" i="11"/>
  <c r="K554" i="11"/>
  <c r="J554" i="11"/>
  <c r="J557" i="11"/>
  <c r="K557" i="11"/>
  <c r="E538" i="11"/>
  <c r="B282" i="11"/>
  <c r="A404" i="11"/>
  <c r="A334" i="11"/>
  <c r="T330" i="11" s="1"/>
  <c r="Y121" i="11"/>
  <c r="J627" i="11"/>
  <c r="K627" i="11"/>
  <c r="K591" i="11"/>
  <c r="J591" i="11"/>
  <c r="K542" i="11"/>
  <c r="J542" i="11"/>
  <c r="K545" i="11"/>
  <c r="J545" i="11"/>
  <c r="C385" i="11"/>
  <c r="C381" i="11"/>
  <c r="C375" i="11"/>
  <c r="C386" i="11"/>
  <c r="C382" i="11"/>
  <c r="C376" i="11"/>
  <c r="C372" i="11"/>
  <c r="C371" i="11"/>
  <c r="C370" i="11"/>
  <c r="C366" i="11"/>
  <c r="C383" i="11"/>
  <c r="C379" i="11"/>
  <c r="C377" i="11"/>
  <c r="C373" i="11"/>
  <c r="C367" i="11"/>
  <c r="C363" i="11"/>
  <c r="C359" i="11"/>
  <c r="C355" i="11"/>
  <c r="C352" i="11"/>
  <c r="C368" i="11"/>
  <c r="C358" i="11"/>
  <c r="C357" i="11"/>
  <c r="C356" i="11"/>
  <c r="C354" i="11"/>
  <c r="C353" i="11"/>
  <c r="C347" i="11"/>
  <c r="C343" i="11"/>
  <c r="C339" i="11"/>
  <c r="C335" i="11"/>
  <c r="C365" i="11"/>
  <c r="C351" i="11"/>
  <c r="C350" i="11"/>
  <c r="C348" i="11"/>
  <c r="C344" i="11"/>
  <c r="C340" i="11"/>
  <c r="C336" i="11"/>
  <c r="B302" i="11"/>
  <c r="C380" i="11"/>
  <c r="C374" i="11"/>
  <c r="C364" i="11"/>
  <c r="C349" i="11"/>
  <c r="C345" i="11"/>
  <c r="C341" i="11"/>
  <c r="C337" i="11"/>
  <c r="C384" i="11"/>
  <c r="C378" i="11"/>
  <c r="C369" i="11"/>
  <c r="C362" i="11"/>
  <c r="C361" i="11"/>
  <c r="C360" i="11"/>
  <c r="C346" i="11"/>
  <c r="C342" i="11"/>
  <c r="C338" i="11"/>
  <c r="C334" i="11"/>
  <c r="J629" i="11"/>
  <c r="K629" i="11"/>
  <c r="K552" i="11"/>
  <c r="J552" i="11"/>
  <c r="K546" i="11"/>
  <c r="J546" i="11"/>
  <c r="J549" i="11"/>
  <c r="K549" i="11"/>
  <c r="J543" i="11"/>
  <c r="K543" i="11"/>
  <c r="K558" i="11"/>
  <c r="J558" i="11"/>
  <c r="E650" i="11"/>
  <c r="I539" i="11"/>
  <c r="K592" i="11"/>
  <c r="J592" i="11"/>
  <c r="CO126" i="11"/>
  <c r="CN126" i="11"/>
  <c r="CM127" i="11"/>
  <c r="CN120" i="11"/>
  <c r="Q134" i="11"/>
  <c r="AJ137" i="11"/>
  <c r="K548" i="11"/>
  <c r="J548" i="11"/>
  <c r="K540" i="11"/>
  <c r="J540" i="11"/>
  <c r="K630" i="11"/>
  <c r="J630" i="11"/>
  <c r="K628" i="11"/>
  <c r="J628" i="11"/>
  <c r="J553" i="11"/>
  <c r="K553" i="11"/>
  <c r="K551" i="11"/>
  <c r="J551" i="11"/>
  <c r="K544" i="11"/>
  <c r="J544" i="11"/>
  <c r="CG127" i="11"/>
  <c r="CI126" i="11"/>
  <c r="CH126" i="11"/>
  <c r="CH121" i="11"/>
  <c r="CI121" i="11"/>
  <c r="CG120" i="11"/>
  <c r="Q119" i="11"/>
  <c r="AF2" i="8"/>
  <c r="AC41" i="8"/>
  <c r="AC42" i="8"/>
  <c r="AC43" i="8"/>
  <c r="AC44" i="8"/>
  <c r="AC45" i="8"/>
  <c r="AC46" i="8"/>
  <c r="AC47" i="8"/>
  <c r="AC48" i="8"/>
  <c r="AC49" i="8"/>
  <c r="AC50" i="8"/>
  <c r="AC51" i="8"/>
  <c r="AC52" i="8"/>
  <c r="AC53" i="8"/>
  <c r="AC54" i="8"/>
  <c r="AC55" i="8"/>
  <c r="AC56" i="8"/>
  <c r="AC57" i="8"/>
  <c r="AC58" i="8"/>
  <c r="AC59" i="8"/>
  <c r="AC60" i="8"/>
  <c r="AC61" i="8"/>
  <c r="AC62" i="8"/>
  <c r="AC63" i="8"/>
  <c r="AC64" i="8"/>
  <c r="AC65" i="8"/>
  <c r="AC66" i="8"/>
  <c r="AC67" i="8"/>
  <c r="AC68" i="8"/>
  <c r="AC69" i="8"/>
  <c r="AC70" i="8"/>
  <c r="AC71" i="8"/>
  <c r="AC40" i="8"/>
  <c r="L328" i="16" l="1"/>
  <c r="N344" i="16"/>
  <c r="O344" i="16" s="1"/>
  <c r="B330" i="16"/>
  <c r="K329" i="16"/>
  <c r="L329" i="16" s="1"/>
  <c r="B337" i="13"/>
  <c r="K337" i="13" s="1"/>
  <c r="L337" i="13" s="1"/>
  <c r="B21" i="13"/>
  <c r="B30" i="13"/>
  <c r="C30" i="13" s="1"/>
  <c r="H561" i="11"/>
  <c r="M561" i="11"/>
  <c r="G561" i="11"/>
  <c r="L561" i="11"/>
  <c r="M560" i="11"/>
  <c r="H560" i="11"/>
  <c r="L560" i="11"/>
  <c r="F560" i="11"/>
  <c r="M559" i="11"/>
  <c r="L559" i="11"/>
  <c r="H559" i="11"/>
  <c r="G559" i="11"/>
  <c r="F567" i="11"/>
  <c r="F565" i="11"/>
  <c r="F564" i="11"/>
  <c r="F539" i="11"/>
  <c r="G566" i="11"/>
  <c r="G562" i="11"/>
  <c r="G567" i="11"/>
  <c r="G539" i="11"/>
  <c r="G565" i="11"/>
  <c r="G538" i="11"/>
  <c r="Q123" i="11"/>
  <c r="F609" i="11" s="1"/>
  <c r="B22" i="13"/>
  <c r="C22" i="13" s="1"/>
  <c r="B29" i="13"/>
  <c r="C29" i="13" s="1"/>
  <c r="B25" i="13"/>
  <c r="C25" i="13" s="1"/>
  <c r="B24" i="13"/>
  <c r="C24" i="13" s="1"/>
  <c r="Q117" i="11"/>
  <c r="R106" i="11"/>
  <c r="Q137" i="11"/>
  <c r="R137" i="11" s="1"/>
  <c r="M131" i="11"/>
  <c r="N131" i="11" s="1"/>
  <c r="AI131" i="11" s="1"/>
  <c r="F572" i="11"/>
  <c r="F586" i="11"/>
  <c r="M108" i="11"/>
  <c r="N108" i="11" s="1"/>
  <c r="Q128" i="11"/>
  <c r="AH128" i="11" s="1"/>
  <c r="M109" i="11"/>
  <c r="N109" i="11" s="1"/>
  <c r="M120" i="11"/>
  <c r="N120" i="11" s="1"/>
  <c r="M572" i="11" s="1"/>
  <c r="Q114" i="11"/>
  <c r="F600" i="11" s="1"/>
  <c r="Q120" i="11"/>
  <c r="R120" i="11" s="1"/>
  <c r="F579" i="11"/>
  <c r="F570" i="11"/>
  <c r="Q125" i="11"/>
  <c r="F612" i="11" s="1"/>
  <c r="M119" i="11"/>
  <c r="N119" i="11" s="1"/>
  <c r="G605" i="11" s="1"/>
  <c r="Q118" i="11"/>
  <c r="AH118" i="11" s="1"/>
  <c r="F584" i="11"/>
  <c r="F568" i="11"/>
  <c r="Q115" i="11"/>
  <c r="AH115" i="11" s="1"/>
  <c r="M118" i="11"/>
  <c r="AR115" i="11"/>
  <c r="AW115" i="11" s="1"/>
  <c r="AZ115" i="11" s="1"/>
  <c r="AJ127" i="11"/>
  <c r="AR119" i="11"/>
  <c r="AW119" i="11" s="1"/>
  <c r="AZ119" i="11" s="1"/>
  <c r="B28" i="13"/>
  <c r="D28" i="13" s="1"/>
  <c r="E28" i="13" s="1"/>
  <c r="B26" i="13"/>
  <c r="C26" i="13" s="1"/>
  <c r="B31" i="13"/>
  <c r="D31" i="13" s="1"/>
  <c r="E31" i="13" s="1"/>
  <c r="S106" i="11"/>
  <c r="F590" i="11"/>
  <c r="AR108" i="11"/>
  <c r="AW108" i="11" s="1"/>
  <c r="AZ108" i="11" s="1"/>
  <c r="B23" i="13"/>
  <c r="C23" i="13" s="1"/>
  <c r="N118" i="11"/>
  <c r="L570" i="11" s="1"/>
  <c r="Q138" i="11"/>
  <c r="F577" i="11"/>
  <c r="CO120" i="11"/>
  <c r="F578" i="11"/>
  <c r="Q129" i="11"/>
  <c r="AH129" i="11" s="1"/>
  <c r="M122" i="11"/>
  <c r="N122" i="11" s="1"/>
  <c r="AR134" i="11"/>
  <c r="AW134" i="11" s="1"/>
  <c r="AZ134" i="11" s="1"/>
  <c r="AR136" i="11"/>
  <c r="AW136" i="11" s="1"/>
  <c r="AZ136" i="11" s="1"/>
  <c r="F589" i="11"/>
  <c r="N129" i="11"/>
  <c r="P129" i="11" s="1"/>
  <c r="Q136" i="11"/>
  <c r="AH136" i="11" s="1"/>
  <c r="M133" i="11"/>
  <c r="N133" i="11" s="1"/>
  <c r="M117" i="11"/>
  <c r="N117" i="11" s="1"/>
  <c r="H569" i="11" s="1"/>
  <c r="M136" i="11"/>
  <c r="N136" i="11" s="1"/>
  <c r="P136" i="11" s="1"/>
  <c r="AJ113" i="11"/>
  <c r="AR120" i="11"/>
  <c r="AW120" i="11" s="1"/>
  <c r="AZ120" i="11" s="1"/>
  <c r="F585" i="11"/>
  <c r="Q132" i="11"/>
  <c r="F618" i="11" s="1"/>
  <c r="M116" i="11"/>
  <c r="N116" i="11" s="1"/>
  <c r="F588" i="11"/>
  <c r="Q116" i="11"/>
  <c r="AH116" i="11" s="1"/>
  <c r="O370" i="11"/>
  <c r="N132" i="11"/>
  <c r="G618" i="11" s="1"/>
  <c r="N110" i="11"/>
  <c r="G596" i="11" s="1"/>
  <c r="N128" i="11"/>
  <c r="L580" i="11" s="1"/>
  <c r="N134" i="11"/>
  <c r="G586" i="11" s="1"/>
  <c r="AR107" i="11"/>
  <c r="AW107" i="11" s="1"/>
  <c r="AZ107" i="11" s="1"/>
  <c r="F581" i="11"/>
  <c r="N115" i="11"/>
  <c r="AR109" i="11"/>
  <c r="AW109" i="11" s="1"/>
  <c r="AZ109" i="11" s="1"/>
  <c r="Q112" i="11"/>
  <c r="F599" i="11" s="1"/>
  <c r="N114" i="11"/>
  <c r="G600" i="11" s="1"/>
  <c r="M138" i="11"/>
  <c r="N138" i="11" s="1"/>
  <c r="F574" i="11"/>
  <c r="AJ106" i="11"/>
  <c r="AR132" i="11"/>
  <c r="AW132" i="11" s="1"/>
  <c r="AZ132" i="11" s="1"/>
  <c r="N127" i="11"/>
  <c r="G579" i="11" s="1"/>
  <c r="F582" i="11"/>
  <c r="AR110" i="11"/>
  <c r="AW110" i="11" s="1"/>
  <c r="AZ110" i="11" s="1"/>
  <c r="AR123" i="11"/>
  <c r="AW123" i="11" s="1"/>
  <c r="AZ123" i="11" s="1"/>
  <c r="N135" i="11"/>
  <c r="M587" i="11" s="1"/>
  <c r="AR116" i="11"/>
  <c r="AW116" i="11" s="1"/>
  <c r="AZ116" i="11" s="1"/>
  <c r="AR112" i="11"/>
  <c r="AW112" i="11" s="1"/>
  <c r="AZ112" i="11" s="1"/>
  <c r="Q107" i="11"/>
  <c r="AH107" i="11" s="1"/>
  <c r="M112" i="11"/>
  <c r="N112" i="11" s="1"/>
  <c r="AR138" i="11"/>
  <c r="AW138" i="11" s="1"/>
  <c r="AZ138" i="11" s="1"/>
  <c r="N123" i="11"/>
  <c r="G609" i="11" s="1"/>
  <c r="P106" i="11"/>
  <c r="N111" i="11"/>
  <c r="I563" i="11" s="1"/>
  <c r="N125" i="11"/>
  <c r="L577" i="11" s="1"/>
  <c r="M107" i="11"/>
  <c r="N107" i="11" s="1"/>
  <c r="F575" i="11"/>
  <c r="N124" i="11"/>
  <c r="L576" i="11" s="1"/>
  <c r="Q135" i="11"/>
  <c r="AH135" i="11" s="1"/>
  <c r="F583" i="11"/>
  <c r="AJ112" i="11"/>
  <c r="AR111" i="11"/>
  <c r="AW111" i="11" s="1"/>
  <c r="AZ111" i="11" s="1"/>
  <c r="M121" i="11"/>
  <c r="N121" i="11" s="1"/>
  <c r="AI121" i="11" s="1"/>
  <c r="AR126" i="11"/>
  <c r="AW126" i="11" s="1"/>
  <c r="AZ126" i="11" s="1"/>
  <c r="AR117" i="11"/>
  <c r="AW117" i="11" s="1"/>
  <c r="AZ117" i="11" s="1"/>
  <c r="AR118" i="11"/>
  <c r="AW118" i="11" s="1"/>
  <c r="AZ118" i="11" s="1"/>
  <c r="Q110" i="11"/>
  <c r="AH110" i="11" s="1"/>
  <c r="F580" i="11"/>
  <c r="AR122" i="11"/>
  <c r="AW122" i="11" s="1"/>
  <c r="AZ122" i="11" s="1"/>
  <c r="AJ136" i="11"/>
  <c r="AR127" i="11"/>
  <c r="AW127" i="11" s="1"/>
  <c r="AZ127" i="11" s="1"/>
  <c r="M113" i="11"/>
  <c r="N113" i="11" s="1"/>
  <c r="G599" i="11" s="1"/>
  <c r="AR114" i="11"/>
  <c r="AW114" i="11" s="1"/>
  <c r="AZ114" i="11" s="1"/>
  <c r="O371" i="11"/>
  <c r="AR121" i="11"/>
  <c r="AW121" i="11" s="1"/>
  <c r="AZ121" i="11" s="1"/>
  <c r="Q111" i="11"/>
  <c r="AH111" i="11" s="1"/>
  <c r="AR130" i="11"/>
  <c r="AW130" i="11" s="1"/>
  <c r="AZ130" i="11" s="1"/>
  <c r="M130" i="11"/>
  <c r="N130" i="11" s="1"/>
  <c r="M582" i="11" s="1"/>
  <c r="AR125" i="11"/>
  <c r="AW125" i="11" s="1"/>
  <c r="AZ125" i="11" s="1"/>
  <c r="Q124" i="11"/>
  <c r="AH124" i="11" s="1"/>
  <c r="F587" i="11"/>
  <c r="AR129" i="11"/>
  <c r="AW129" i="11" s="1"/>
  <c r="AZ129" i="11" s="1"/>
  <c r="Q121" i="11"/>
  <c r="R121" i="11" s="1"/>
  <c r="AR113" i="11"/>
  <c r="AW113" i="11" s="1"/>
  <c r="AZ113" i="11" s="1"/>
  <c r="AJ126" i="11"/>
  <c r="AJ117" i="11"/>
  <c r="AR124" i="11"/>
  <c r="AW124" i="11" s="1"/>
  <c r="AZ124" i="11" s="1"/>
  <c r="AR128" i="11"/>
  <c r="AW128" i="11" s="1"/>
  <c r="AZ128" i="11" s="1"/>
  <c r="AR135" i="11"/>
  <c r="AW135" i="11" s="1"/>
  <c r="AZ135" i="11" s="1"/>
  <c r="AR131" i="11"/>
  <c r="AW131" i="11" s="1"/>
  <c r="AZ131" i="11" s="1"/>
  <c r="Q127" i="11"/>
  <c r="R127" i="11" s="1"/>
  <c r="M126" i="11"/>
  <c r="N126" i="11" s="1"/>
  <c r="P126" i="11" s="1"/>
  <c r="Q130" i="11"/>
  <c r="F617" i="11" s="1"/>
  <c r="F576" i="11"/>
  <c r="AR133" i="11"/>
  <c r="AW133" i="11" s="1"/>
  <c r="AZ133" i="11" s="1"/>
  <c r="AJ129" i="11"/>
  <c r="F573" i="11"/>
  <c r="AR137" i="11"/>
  <c r="AW137" i="11" s="1"/>
  <c r="AZ137" i="11" s="1"/>
  <c r="N137" i="11"/>
  <c r="G589" i="11" s="1"/>
  <c r="C27" i="13"/>
  <c r="D27" i="13"/>
  <c r="E27" i="13" s="1"/>
  <c r="C21" i="13"/>
  <c r="D21" i="13"/>
  <c r="E21" i="13" s="1"/>
  <c r="AD42" i="8"/>
  <c r="AD46" i="8"/>
  <c r="AD50" i="8"/>
  <c r="AD54" i="8"/>
  <c r="AD58" i="8"/>
  <c r="AD62" i="8"/>
  <c r="AD66" i="8"/>
  <c r="AD70" i="8"/>
  <c r="AD8" i="8"/>
  <c r="AD12" i="8"/>
  <c r="AD16" i="8"/>
  <c r="AD20" i="8"/>
  <c r="AD24" i="8"/>
  <c r="AD28" i="8"/>
  <c r="AD32" i="8"/>
  <c r="AD36" i="8"/>
  <c r="AD7" i="8"/>
  <c r="AD11" i="8"/>
  <c r="AD31" i="8"/>
  <c r="AD43" i="8"/>
  <c r="AD47" i="8"/>
  <c r="AD51" i="8"/>
  <c r="AD55" i="8"/>
  <c r="AD59" i="8"/>
  <c r="AD63" i="8"/>
  <c r="AD67" i="8"/>
  <c r="AD71" i="8"/>
  <c r="AD9" i="8"/>
  <c r="AD13" i="8"/>
  <c r="AD17" i="8"/>
  <c r="AD21" i="8"/>
  <c r="AD25" i="8"/>
  <c r="AD29" i="8"/>
  <c r="AD33" i="8"/>
  <c r="AD37" i="8"/>
  <c r="AD41" i="8"/>
  <c r="AD49" i="8"/>
  <c r="AD57" i="8"/>
  <c r="AD69" i="8"/>
  <c r="AD15" i="8"/>
  <c r="AD23" i="8"/>
  <c r="AD35" i="8"/>
  <c r="AD44" i="8"/>
  <c r="AD48" i="8"/>
  <c r="AD52" i="8"/>
  <c r="AD56" i="8"/>
  <c r="AD60" i="8"/>
  <c r="AD64" i="8"/>
  <c r="AD68" i="8"/>
  <c r="AD40" i="8"/>
  <c r="AD10" i="8"/>
  <c r="AD14" i="8"/>
  <c r="AD18" i="8"/>
  <c r="AD22" i="8"/>
  <c r="AD26" i="8"/>
  <c r="AD30" i="8"/>
  <c r="AD34" i="8"/>
  <c r="AD38" i="8"/>
  <c r="AD45" i="8"/>
  <c r="AD53" i="8"/>
  <c r="AD61" i="8"/>
  <c r="AD65" i="8"/>
  <c r="AD19" i="8"/>
  <c r="AD27" i="8"/>
  <c r="AD39" i="8"/>
  <c r="CI127" i="11"/>
  <c r="CG128" i="11"/>
  <c r="CH127" i="11"/>
  <c r="CN119" i="11"/>
  <c r="CM118" i="11"/>
  <c r="CO119" i="11"/>
  <c r="R113" i="11"/>
  <c r="AH113" i="11"/>
  <c r="R122" i="11"/>
  <c r="AH122" i="11"/>
  <c r="AH126" i="11"/>
  <c r="R126" i="11"/>
  <c r="R117" i="11"/>
  <c r="AH117" i="11"/>
  <c r="J539" i="11"/>
  <c r="R131" i="11"/>
  <c r="AH131" i="11"/>
  <c r="R119" i="11"/>
  <c r="AH119" i="11"/>
  <c r="C404" i="11"/>
  <c r="C440" i="11"/>
  <c r="F334" i="11"/>
  <c r="F355" i="11"/>
  <c r="B669" i="11"/>
  <c r="B665" i="11"/>
  <c r="B661" i="11"/>
  <c r="B656" i="11"/>
  <c r="B653" i="11"/>
  <c r="B668" i="11"/>
  <c r="B664" i="11"/>
  <c r="B660" i="11"/>
  <c r="B658" i="11"/>
  <c r="B652" i="11"/>
  <c r="B650" i="11"/>
  <c r="B667" i="11"/>
  <c r="B663" i="11"/>
  <c r="B657" i="11"/>
  <c r="B655" i="11"/>
  <c r="B651" i="11"/>
  <c r="B649" i="11"/>
  <c r="D646" i="11" s="1"/>
  <c r="B662" i="11"/>
  <c r="B654" i="11"/>
  <c r="B670" i="11"/>
  <c r="B666" i="11"/>
  <c r="B659" i="11"/>
  <c r="A383" i="11"/>
  <c r="J383" i="11" s="1"/>
  <c r="A379" i="11"/>
  <c r="J379" i="11" s="1"/>
  <c r="A377" i="11"/>
  <c r="J377" i="11" s="1"/>
  <c r="A373" i="11"/>
  <c r="J373" i="11" s="1"/>
  <c r="A384" i="11"/>
  <c r="J384" i="11" s="1"/>
  <c r="A380" i="11"/>
  <c r="J380" i="11" s="1"/>
  <c r="A378" i="11"/>
  <c r="J378" i="11" s="1"/>
  <c r="A374" i="11"/>
  <c r="J374" i="11" s="1"/>
  <c r="A368" i="11"/>
  <c r="J368" i="11" s="1"/>
  <c r="A364" i="11"/>
  <c r="J364" i="11" s="1"/>
  <c r="A385" i="11"/>
  <c r="J385" i="11" s="1"/>
  <c r="A381" i="11"/>
  <c r="J381" i="11" s="1"/>
  <c r="A375" i="11"/>
  <c r="J375" i="11" s="1"/>
  <c r="A369" i="11"/>
  <c r="J369" i="11" s="1"/>
  <c r="A365" i="11"/>
  <c r="J365" i="11" s="1"/>
  <c r="A361" i="11"/>
  <c r="J361" i="11" s="1"/>
  <c r="A357" i="11"/>
  <c r="J357" i="11" s="1"/>
  <c r="A372" i="11"/>
  <c r="J372" i="11" s="1"/>
  <c r="A371" i="11"/>
  <c r="J371" i="11" s="1"/>
  <c r="A366" i="11"/>
  <c r="J366" i="11" s="1"/>
  <c r="A362" i="11"/>
  <c r="J362" i="11" s="1"/>
  <c r="A382" i="11"/>
  <c r="J382" i="11" s="1"/>
  <c r="A376" i="11"/>
  <c r="J376" i="11" s="1"/>
  <c r="A363" i="11"/>
  <c r="J363" i="11" s="1"/>
  <c r="A360" i="11"/>
  <c r="J360" i="11" s="1"/>
  <c r="A359" i="11"/>
  <c r="J359" i="11" s="1"/>
  <c r="A358" i="11"/>
  <c r="J358" i="11" s="1"/>
  <c r="A386" i="11"/>
  <c r="J386" i="11" s="1"/>
  <c r="A370" i="11"/>
  <c r="J370" i="11" s="1"/>
  <c r="A356" i="11"/>
  <c r="J356" i="11" s="1"/>
  <c r="A335" i="11"/>
  <c r="F335" i="11" s="1"/>
  <c r="J334" i="11"/>
  <c r="A367" i="11"/>
  <c r="J367" i="11" s="1"/>
  <c r="B384" i="11"/>
  <c r="B380" i="11"/>
  <c r="B378" i="11"/>
  <c r="B374" i="11"/>
  <c r="B385" i="11"/>
  <c r="B381" i="11"/>
  <c r="B375" i="11"/>
  <c r="B369" i="11"/>
  <c r="B365" i="11"/>
  <c r="B386" i="11"/>
  <c r="B382" i="11"/>
  <c r="B376" i="11"/>
  <c r="B372" i="11"/>
  <c r="B371" i="11"/>
  <c r="B370" i="11"/>
  <c r="B366" i="11"/>
  <c r="B362" i="11"/>
  <c r="B358" i="11"/>
  <c r="B351" i="11"/>
  <c r="B363" i="11"/>
  <c r="B361" i="11"/>
  <c r="B360" i="11"/>
  <c r="B359" i="11"/>
  <c r="B346" i="11"/>
  <c r="B342" i="11"/>
  <c r="B338" i="11"/>
  <c r="B334" i="11"/>
  <c r="B309" i="11"/>
  <c r="B379" i="11"/>
  <c r="B373" i="11"/>
  <c r="B368" i="11"/>
  <c r="B357" i="11"/>
  <c r="B356" i="11"/>
  <c r="B355" i="11"/>
  <c r="B354" i="11"/>
  <c r="B353" i="11"/>
  <c r="B352" i="11"/>
  <c r="B347" i="11"/>
  <c r="B343" i="11"/>
  <c r="B339" i="11"/>
  <c r="B335" i="11"/>
  <c r="B383" i="11"/>
  <c r="B377" i="11"/>
  <c r="B367" i="11"/>
  <c r="B350" i="11"/>
  <c r="B348" i="11"/>
  <c r="B344" i="11"/>
  <c r="B340" i="11"/>
  <c r="B336" i="11"/>
  <c r="B364" i="11"/>
  <c r="B349" i="11"/>
  <c r="B345" i="11"/>
  <c r="B341" i="11"/>
  <c r="B337" i="11"/>
  <c r="E649" i="11"/>
  <c r="I538" i="11"/>
  <c r="R108" i="11"/>
  <c r="AH108" i="11"/>
  <c r="R133" i="11"/>
  <c r="AH133" i="11"/>
  <c r="F595" i="11"/>
  <c r="R109" i="11"/>
  <c r="AH109" i="11"/>
  <c r="J440" i="11"/>
  <c r="J404" i="11"/>
  <c r="A405" i="11"/>
  <c r="C405" i="11" s="1"/>
  <c r="D404" i="11"/>
  <c r="F620" i="11"/>
  <c r="R134" i="11"/>
  <c r="AH134" i="11"/>
  <c r="CI120" i="11"/>
  <c r="CH120" i="11"/>
  <c r="CG119" i="11"/>
  <c r="CO127" i="11"/>
  <c r="CM128" i="11"/>
  <c r="CN127" i="11"/>
  <c r="E406" i="10"/>
  <c r="D450" i="10"/>
  <c r="F410" i="10"/>
  <c r="G410" i="10" s="1"/>
  <c r="CO134" i="10"/>
  <c r="CN134" i="10"/>
  <c r="CM133" i="10"/>
  <c r="CO133" i="10" s="1"/>
  <c r="CM135" i="10"/>
  <c r="CO135" i="10" s="1"/>
  <c r="CM147" i="10"/>
  <c r="CO147" i="10" s="1"/>
  <c r="CM121" i="10"/>
  <c r="N345" i="16" l="1"/>
  <c r="O345" i="16" s="1"/>
  <c r="B331" i="16"/>
  <c r="K330" i="16"/>
  <c r="L330" i="16" s="1"/>
  <c r="B338" i="13"/>
  <c r="K338" i="13" s="1"/>
  <c r="L338" i="13" s="1"/>
  <c r="C28" i="13"/>
  <c r="D22" i="13"/>
  <c r="E22" i="13" s="1"/>
  <c r="D30" i="13"/>
  <c r="E30" i="13" s="1"/>
  <c r="D29" i="13"/>
  <c r="E29" i="13" s="1"/>
  <c r="R136" i="11"/>
  <c r="CN105" i="11"/>
  <c r="CP127" i="11" s="1"/>
  <c r="D25" i="13"/>
  <c r="E25" i="13" s="1"/>
  <c r="AH137" i="11"/>
  <c r="AM137" i="11" s="1"/>
  <c r="AN137" i="11" s="1"/>
  <c r="R114" i="11"/>
  <c r="M589" i="11"/>
  <c r="CD126" i="11"/>
  <c r="R123" i="11"/>
  <c r="R128" i="11"/>
  <c r="P118" i="11"/>
  <c r="CD118" i="11" s="1"/>
  <c r="AI118" i="11"/>
  <c r="G570" i="11"/>
  <c r="AH123" i="11"/>
  <c r="AO123" i="11" s="1"/>
  <c r="AP123" i="11" s="1"/>
  <c r="H570" i="11"/>
  <c r="I570" i="11" s="1"/>
  <c r="G604" i="11"/>
  <c r="F603" i="11"/>
  <c r="M570" i="11"/>
  <c r="CD136" i="11"/>
  <c r="F624" i="11"/>
  <c r="D24" i="13"/>
  <c r="E24" i="13" s="1"/>
  <c r="P113" i="11"/>
  <c r="CD113" i="11" s="1"/>
  <c r="P124" i="11"/>
  <c r="CD124" i="11" s="1"/>
  <c r="M576" i="11"/>
  <c r="S124" i="11"/>
  <c r="CN106" i="11" s="1"/>
  <c r="CQ127" i="11" s="1"/>
  <c r="AH120" i="11"/>
  <c r="AO120" i="11" s="1"/>
  <c r="AP120" i="11" s="1"/>
  <c r="AI125" i="11"/>
  <c r="L569" i="11"/>
  <c r="AI129" i="11"/>
  <c r="AI124" i="11"/>
  <c r="AS126" i="11"/>
  <c r="AX126" i="11" s="1"/>
  <c r="BA126" i="11" s="1"/>
  <c r="R116" i="11"/>
  <c r="S118" i="11"/>
  <c r="CH106" i="11" s="1"/>
  <c r="CK126" i="11" s="1"/>
  <c r="F610" i="11"/>
  <c r="G623" i="11"/>
  <c r="R111" i="11"/>
  <c r="G610" i="11"/>
  <c r="I561" i="11"/>
  <c r="H576" i="11"/>
  <c r="I576" i="11" s="1"/>
  <c r="G576" i="11"/>
  <c r="AI109" i="11"/>
  <c r="S113" i="11"/>
  <c r="S117" i="11"/>
  <c r="AS118" i="11"/>
  <c r="AX118" i="11" s="1"/>
  <c r="BA118" i="11" s="1"/>
  <c r="AI127" i="11"/>
  <c r="H586" i="11"/>
  <c r="I586" i="11" s="1"/>
  <c r="CH105" i="11"/>
  <c r="CJ127" i="11" s="1"/>
  <c r="F605" i="11"/>
  <c r="H575" i="11"/>
  <c r="I575" i="11" s="1"/>
  <c r="AI117" i="11"/>
  <c r="R118" i="11"/>
  <c r="F596" i="11"/>
  <c r="P117" i="11"/>
  <c r="CD117" i="11" s="1"/>
  <c r="M575" i="11"/>
  <c r="AS128" i="11"/>
  <c r="AX128" i="11" s="1"/>
  <c r="BA128" i="11" s="1"/>
  <c r="AI134" i="11"/>
  <c r="M579" i="11"/>
  <c r="G603" i="11"/>
  <c r="F604" i="11"/>
  <c r="G575" i="11"/>
  <c r="D26" i="13"/>
  <c r="E26" i="13" s="1"/>
  <c r="G569" i="11"/>
  <c r="H604" i="11"/>
  <c r="I604" i="11" s="1"/>
  <c r="AS124" i="11"/>
  <c r="AX124" i="11" s="1"/>
  <c r="BA124" i="11" s="1"/>
  <c r="H610" i="11"/>
  <c r="I610" i="11" s="1"/>
  <c r="M569" i="11"/>
  <c r="S127" i="11"/>
  <c r="AI114" i="11"/>
  <c r="P121" i="11"/>
  <c r="CD121" i="11" s="1"/>
  <c r="S134" i="11"/>
  <c r="R130" i="11"/>
  <c r="AH125" i="11"/>
  <c r="AM126" i="11" s="1"/>
  <c r="AN126" i="11" s="1"/>
  <c r="AH114" i="11"/>
  <c r="AM114" i="11" s="1"/>
  <c r="AN114" i="11" s="1"/>
  <c r="AI130" i="11"/>
  <c r="F606" i="11"/>
  <c r="R125" i="11"/>
  <c r="M571" i="11"/>
  <c r="P127" i="11"/>
  <c r="CD127" i="11" s="1"/>
  <c r="G613" i="11"/>
  <c r="R115" i="11"/>
  <c r="S123" i="11"/>
  <c r="G607" i="11"/>
  <c r="S129" i="11"/>
  <c r="L586" i="11"/>
  <c r="C31" i="13"/>
  <c r="D23" i="13"/>
  <c r="E23" i="13" s="1"/>
  <c r="F601" i="11"/>
  <c r="H605" i="11"/>
  <c r="I605" i="11" s="1"/>
  <c r="G581" i="11"/>
  <c r="AH112" i="11"/>
  <c r="AM112" i="11" s="1"/>
  <c r="AN112" i="11" s="1"/>
  <c r="L579" i="11"/>
  <c r="H579" i="11"/>
  <c r="I579" i="11" s="1"/>
  <c r="P114" i="11"/>
  <c r="CD114" i="11" s="1"/>
  <c r="L575" i="11"/>
  <c r="AI123" i="11"/>
  <c r="L589" i="11"/>
  <c r="H614" i="11"/>
  <c r="I614" i="11" s="1"/>
  <c r="H581" i="11"/>
  <c r="I581" i="11" s="1"/>
  <c r="M581" i="11"/>
  <c r="G615" i="11"/>
  <c r="P134" i="11"/>
  <c r="CD134" i="11" s="1"/>
  <c r="G620" i="11"/>
  <c r="H584" i="11"/>
  <c r="I584" i="11" s="1"/>
  <c r="S132" i="11"/>
  <c r="AH132" i="11"/>
  <c r="AM132" i="11" s="1"/>
  <c r="AN132" i="11" s="1"/>
  <c r="AS129" i="11"/>
  <c r="AX129" i="11" s="1"/>
  <c r="BA129" i="11" s="1"/>
  <c r="L578" i="11"/>
  <c r="F619" i="11"/>
  <c r="F613" i="11"/>
  <c r="S114" i="11"/>
  <c r="P123" i="11"/>
  <c r="CD123" i="11" s="1"/>
  <c r="P119" i="11"/>
  <c r="CD119" i="11" s="1"/>
  <c r="L581" i="11"/>
  <c r="M586" i="11"/>
  <c r="P132" i="11"/>
  <c r="CD132" i="11" s="1"/>
  <c r="F608" i="11"/>
  <c r="AH138" i="11"/>
  <c r="P110" i="11"/>
  <c r="CD110" i="11" s="1"/>
  <c r="AS115" i="11"/>
  <c r="AX115" i="11" s="1"/>
  <c r="BA115" i="11" s="1"/>
  <c r="M583" i="11"/>
  <c r="R135" i="11"/>
  <c r="G616" i="11"/>
  <c r="R138" i="11"/>
  <c r="S110" i="11"/>
  <c r="G568" i="11"/>
  <c r="G602" i="11"/>
  <c r="F621" i="11"/>
  <c r="F615" i="11"/>
  <c r="H596" i="11"/>
  <c r="I596" i="11" s="1"/>
  <c r="S116" i="11"/>
  <c r="AM109" i="11"/>
  <c r="AN109" i="11" s="1"/>
  <c r="G583" i="11"/>
  <c r="H618" i="11"/>
  <c r="I618" i="11" s="1"/>
  <c r="AS117" i="11"/>
  <c r="AX117" i="11" s="1"/>
  <c r="BA117" i="11" s="1"/>
  <c r="H583" i="11"/>
  <c r="I583" i="11" s="1"/>
  <c r="AS133" i="11"/>
  <c r="AX133" i="11" s="1"/>
  <c r="BA133" i="11" s="1"/>
  <c r="AS134" i="11"/>
  <c r="AX134" i="11" s="1"/>
  <c r="BA134" i="11" s="1"/>
  <c r="S133" i="11"/>
  <c r="AS123" i="11"/>
  <c r="AX123" i="11" s="1"/>
  <c r="BA123" i="11" s="1"/>
  <c r="AS122" i="11"/>
  <c r="AX122" i="11" s="1"/>
  <c r="BA122" i="11" s="1"/>
  <c r="G574" i="11"/>
  <c r="H602" i="11"/>
  <c r="I602" i="11" s="1"/>
  <c r="F622" i="11"/>
  <c r="H603" i="11"/>
  <c r="I603" i="11" s="1"/>
  <c r="G617" i="11"/>
  <c r="R124" i="11"/>
  <c r="F611" i="11"/>
  <c r="S137" i="11"/>
  <c r="AI137" i="11"/>
  <c r="H623" i="11"/>
  <c r="I623" i="11" s="1"/>
  <c r="AI113" i="11"/>
  <c r="I562" i="11"/>
  <c r="I567" i="11"/>
  <c r="G601" i="11"/>
  <c r="P116" i="11"/>
  <c r="CD116" i="11" s="1"/>
  <c r="M568" i="11"/>
  <c r="AI136" i="11"/>
  <c r="H588" i="11"/>
  <c r="I588" i="11" s="1"/>
  <c r="AS137" i="11"/>
  <c r="AX137" i="11" s="1"/>
  <c r="BA137" i="11" s="1"/>
  <c r="AI110" i="11"/>
  <c r="S115" i="11"/>
  <c r="P115" i="11"/>
  <c r="CD115" i="11" s="1"/>
  <c r="H601" i="11"/>
  <c r="I601" i="11" s="1"/>
  <c r="L568" i="11"/>
  <c r="S131" i="11"/>
  <c r="AI116" i="11"/>
  <c r="G588" i="11"/>
  <c r="L583" i="11"/>
  <c r="H568" i="11"/>
  <c r="I568" i="11" s="1"/>
  <c r="F623" i="11"/>
  <c r="AS116" i="11"/>
  <c r="AX116" i="11" s="1"/>
  <c r="BA116" i="11" s="1"/>
  <c r="M588" i="11"/>
  <c r="S136" i="11"/>
  <c r="AS132" i="11"/>
  <c r="AX132" i="11" s="1"/>
  <c r="BA132" i="11" s="1"/>
  <c r="P131" i="11"/>
  <c r="CD131" i="11" s="1"/>
  <c r="L588" i="11"/>
  <c r="G622" i="11"/>
  <c r="AS114" i="11"/>
  <c r="AX114" i="11" s="1"/>
  <c r="BA114" i="11" s="1"/>
  <c r="H600" i="11"/>
  <c r="I600" i="11" s="1"/>
  <c r="P137" i="11"/>
  <c r="CD137" i="11" s="1"/>
  <c r="H589" i="11"/>
  <c r="I589" i="11" s="1"/>
  <c r="I565" i="11"/>
  <c r="AI115" i="11"/>
  <c r="G593" i="11"/>
  <c r="AS107" i="11"/>
  <c r="AX107" i="11" s="1"/>
  <c r="BA107" i="11" s="1"/>
  <c r="H593" i="11"/>
  <c r="I593" i="11" s="1"/>
  <c r="AI107" i="11"/>
  <c r="AK107" i="11" s="1"/>
  <c r="AL107" i="11" s="1"/>
  <c r="I559" i="11"/>
  <c r="S107" i="11"/>
  <c r="P107" i="11"/>
  <c r="CD107" i="11" s="1"/>
  <c r="R132" i="11"/>
  <c r="I564" i="11"/>
  <c r="H571" i="11"/>
  <c r="I571" i="11" s="1"/>
  <c r="G571" i="11"/>
  <c r="I560" i="11"/>
  <c r="G587" i="11"/>
  <c r="G584" i="11"/>
  <c r="G572" i="11"/>
  <c r="F598" i="11"/>
  <c r="F594" i="11"/>
  <c r="R129" i="11"/>
  <c r="L571" i="11"/>
  <c r="AS119" i="11"/>
  <c r="AX119" i="11" s="1"/>
  <c r="BA119" i="11" s="1"/>
  <c r="M584" i="11"/>
  <c r="H611" i="11"/>
  <c r="I611" i="11" s="1"/>
  <c r="AO116" i="11"/>
  <c r="AP116" i="11" s="1"/>
  <c r="R107" i="11"/>
  <c r="L584" i="11"/>
  <c r="H572" i="11"/>
  <c r="I572" i="11" s="1"/>
  <c r="AH121" i="11"/>
  <c r="AO122" i="11" s="1"/>
  <c r="AP122" i="11" s="1"/>
  <c r="AI132" i="11"/>
  <c r="S119" i="11"/>
  <c r="AI119" i="11"/>
  <c r="H615" i="11"/>
  <c r="I615" i="11" s="1"/>
  <c r="S125" i="11"/>
  <c r="M577" i="11"/>
  <c r="M574" i="11"/>
  <c r="H574" i="11"/>
  <c r="I574" i="11" s="1"/>
  <c r="G608" i="11"/>
  <c r="P111" i="11"/>
  <c r="CD111" i="11" s="1"/>
  <c r="G578" i="11"/>
  <c r="F616" i="11"/>
  <c r="M585" i="11"/>
  <c r="H573" i="11"/>
  <c r="I573" i="11" s="1"/>
  <c r="M580" i="11"/>
  <c r="AI128" i="11"/>
  <c r="AI111" i="11"/>
  <c r="H597" i="11"/>
  <c r="I597" i="11" s="1"/>
  <c r="R110" i="11"/>
  <c r="H595" i="11"/>
  <c r="I595" i="11" s="1"/>
  <c r="P133" i="11"/>
  <c r="CD133" i="11" s="1"/>
  <c r="L585" i="11"/>
  <c r="G619" i="11"/>
  <c r="S121" i="11"/>
  <c r="M573" i="11"/>
  <c r="H580" i="11"/>
  <c r="I580" i="11" s="1"/>
  <c r="S128" i="11"/>
  <c r="BR124" i="11" s="1"/>
  <c r="CD129" i="11"/>
  <c r="H620" i="11"/>
  <c r="I620" i="11" s="1"/>
  <c r="G577" i="11"/>
  <c r="P125" i="11"/>
  <c r="CD125" i="11" s="1"/>
  <c r="G611" i="11"/>
  <c r="S122" i="11"/>
  <c r="L574" i="11"/>
  <c r="H608" i="11"/>
  <c r="I608" i="11" s="1"/>
  <c r="AS110" i="11"/>
  <c r="AX110" i="11" s="1"/>
  <c r="BA110" i="11" s="1"/>
  <c r="S109" i="11"/>
  <c r="H598" i="11"/>
  <c r="I598" i="11" s="1"/>
  <c r="AO107" i="11"/>
  <c r="AP107" i="11" s="1"/>
  <c r="H621" i="11"/>
  <c r="I621" i="11" s="1"/>
  <c r="F597" i="11"/>
  <c r="G597" i="11"/>
  <c r="F602" i="11"/>
  <c r="G595" i="11"/>
  <c r="G585" i="11"/>
  <c r="H609" i="11"/>
  <c r="I609" i="11" s="1"/>
  <c r="G573" i="11"/>
  <c r="S111" i="11"/>
  <c r="AS111" i="11"/>
  <c r="AX111" i="11" s="1"/>
  <c r="BA111" i="11" s="1"/>
  <c r="AS109" i="11"/>
  <c r="AX109" i="11" s="1"/>
  <c r="BA109" i="11" s="1"/>
  <c r="H585" i="11"/>
  <c r="I585" i="11" s="1"/>
  <c r="AI133" i="11"/>
  <c r="H619" i="11"/>
  <c r="I619" i="11" s="1"/>
  <c r="L573" i="11"/>
  <c r="P128" i="11"/>
  <c r="CD128" i="11" s="1"/>
  <c r="G580" i="11"/>
  <c r="G614" i="11"/>
  <c r="H577" i="11"/>
  <c r="I577" i="11" s="1"/>
  <c r="AS125" i="11"/>
  <c r="AX125" i="11" s="1"/>
  <c r="BA125" i="11" s="1"/>
  <c r="P122" i="11"/>
  <c r="CD122" i="11" s="1"/>
  <c r="AI122" i="11"/>
  <c r="K563" i="11"/>
  <c r="P109" i="11"/>
  <c r="CD109" i="11" s="1"/>
  <c r="G590" i="11"/>
  <c r="H590" i="11"/>
  <c r="I590" i="11" s="1"/>
  <c r="J590" i="11" s="1"/>
  <c r="G624" i="11"/>
  <c r="L590" i="11"/>
  <c r="S138" i="11"/>
  <c r="AS138" i="11"/>
  <c r="AX138" i="11" s="1"/>
  <c r="BA138" i="11" s="1"/>
  <c r="AI138" i="11"/>
  <c r="P138" i="11"/>
  <c r="CD138" i="11" s="1"/>
  <c r="M590" i="11"/>
  <c r="H624" i="11"/>
  <c r="I624" i="11" s="1"/>
  <c r="R112" i="11"/>
  <c r="AI120" i="11"/>
  <c r="G606" i="11"/>
  <c r="G612" i="11"/>
  <c r="F593" i="11"/>
  <c r="F607" i="11"/>
  <c r="H613" i="11"/>
  <c r="I613" i="11" s="1"/>
  <c r="CD106" i="11"/>
  <c r="H607" i="11"/>
  <c r="I607" i="11" s="1"/>
  <c r="AS113" i="11"/>
  <c r="AX113" i="11" s="1"/>
  <c r="BA113" i="11" s="1"/>
  <c r="P112" i="11"/>
  <c r="CD112" i="11" s="1"/>
  <c r="AI112" i="11"/>
  <c r="G598" i="11"/>
  <c r="S108" i="11"/>
  <c r="AI108" i="11"/>
  <c r="G594" i="11"/>
  <c r="H587" i="11"/>
  <c r="I587" i="11" s="1"/>
  <c r="AI135" i="11"/>
  <c r="H578" i="11"/>
  <c r="I578" i="11" s="1"/>
  <c r="S120" i="11"/>
  <c r="AS120" i="11"/>
  <c r="AX120" i="11" s="1"/>
  <c r="BA120" i="11" s="1"/>
  <c r="H612" i="11"/>
  <c r="I612" i="11" s="1"/>
  <c r="AO108" i="11"/>
  <c r="AP108" i="11" s="1"/>
  <c r="AH127" i="11"/>
  <c r="AO128" i="11" s="1"/>
  <c r="AP128" i="11" s="1"/>
  <c r="AS121" i="11"/>
  <c r="AX121" i="11" s="1"/>
  <c r="BA121" i="11" s="1"/>
  <c r="AS112" i="11"/>
  <c r="AX112" i="11" s="1"/>
  <c r="BA112" i="11" s="1"/>
  <c r="AS108" i="11"/>
  <c r="AX108" i="11" s="1"/>
  <c r="BA108" i="11" s="1"/>
  <c r="H594" i="11"/>
  <c r="I594" i="11" s="1"/>
  <c r="L587" i="11"/>
  <c r="AS135" i="11"/>
  <c r="AX135" i="11" s="1"/>
  <c r="BA135" i="11" s="1"/>
  <c r="G621" i="11"/>
  <c r="S126" i="11"/>
  <c r="M578" i="11"/>
  <c r="F614" i="11"/>
  <c r="H606" i="11"/>
  <c r="I606" i="11" s="1"/>
  <c r="AM134" i="11"/>
  <c r="AN134" i="11" s="1"/>
  <c r="AI126" i="11"/>
  <c r="AS127" i="11"/>
  <c r="AX127" i="11" s="1"/>
  <c r="BA127" i="11" s="1"/>
  <c r="AS136" i="11"/>
  <c r="AX136" i="11" s="1"/>
  <c r="BA136" i="11" s="1"/>
  <c r="H622" i="11"/>
  <c r="I622" i="11" s="1"/>
  <c r="H599" i="11"/>
  <c r="I599" i="11" s="1"/>
  <c r="S112" i="11"/>
  <c r="P108" i="11"/>
  <c r="CD108" i="11" s="1"/>
  <c r="P135" i="11"/>
  <c r="CD135" i="11" s="1"/>
  <c r="S135" i="11"/>
  <c r="L572" i="11"/>
  <c r="P120" i="11"/>
  <c r="CD120" i="11" s="1"/>
  <c r="H582" i="11"/>
  <c r="I582" i="11" s="1"/>
  <c r="AO111" i="11"/>
  <c r="AP111" i="11" s="1"/>
  <c r="S130" i="11"/>
  <c r="H616" i="11"/>
  <c r="I616" i="11" s="1"/>
  <c r="AS131" i="11"/>
  <c r="AX131" i="11" s="1"/>
  <c r="BA131" i="11" s="1"/>
  <c r="AU130" i="11"/>
  <c r="L582" i="11"/>
  <c r="G582" i="11"/>
  <c r="H617" i="11"/>
  <c r="I617" i="11" s="1"/>
  <c r="P130" i="11"/>
  <c r="CD130" i="11" s="1"/>
  <c r="AH130" i="11"/>
  <c r="AM131" i="11" s="1"/>
  <c r="AN131" i="11" s="1"/>
  <c r="AS130" i="11"/>
  <c r="AX130" i="11" s="1"/>
  <c r="BA130" i="11" s="1"/>
  <c r="AM108" i="11"/>
  <c r="AN108" i="11" s="1"/>
  <c r="AM136" i="11"/>
  <c r="AN136" i="11" s="1"/>
  <c r="AO136" i="11"/>
  <c r="AP136" i="11" s="1"/>
  <c r="AO110" i="11"/>
  <c r="AP110" i="11" s="1"/>
  <c r="F373" i="11"/>
  <c r="AO135" i="11"/>
  <c r="AP135" i="11" s="1"/>
  <c r="AM118" i="11"/>
  <c r="AN118" i="11" s="1"/>
  <c r="AO117" i="11"/>
  <c r="AP117" i="11" s="1"/>
  <c r="AO119" i="11"/>
  <c r="AP119" i="11" s="1"/>
  <c r="AO118" i="11"/>
  <c r="AP118" i="11" s="1"/>
  <c r="AM117" i="11"/>
  <c r="AN117" i="11" s="1"/>
  <c r="F364" i="11"/>
  <c r="AM119" i="11"/>
  <c r="AN119" i="11" s="1"/>
  <c r="AM110" i="11"/>
  <c r="AN110" i="11" s="1"/>
  <c r="CN128" i="11"/>
  <c r="CM129" i="11"/>
  <c r="CP128" i="11"/>
  <c r="CO128" i="11"/>
  <c r="AM116" i="11"/>
  <c r="AN116" i="11" s="1"/>
  <c r="F363" i="11"/>
  <c r="F359" i="11"/>
  <c r="F377" i="11"/>
  <c r="F379" i="11"/>
  <c r="F366" i="11"/>
  <c r="F376" i="11"/>
  <c r="F369" i="11"/>
  <c r="F378" i="11"/>
  <c r="AO109" i="11"/>
  <c r="AP109" i="11" s="1"/>
  <c r="CG118" i="11"/>
  <c r="CI119" i="11"/>
  <c r="CH119" i="11"/>
  <c r="A406" i="11"/>
  <c r="B406" i="11" s="1"/>
  <c r="D405" i="11"/>
  <c r="AM111" i="11"/>
  <c r="AN111" i="11" s="1"/>
  <c r="A336" i="11"/>
  <c r="E336" i="11" s="1"/>
  <c r="J335" i="11"/>
  <c r="F368" i="11"/>
  <c r="F360" i="11"/>
  <c r="F383" i="11"/>
  <c r="F370" i="11"/>
  <c r="F382" i="11"/>
  <c r="F375" i="11"/>
  <c r="F380" i="11"/>
  <c r="AM135" i="11"/>
  <c r="AN135" i="11" s="1"/>
  <c r="CO118" i="11"/>
  <c r="CN118" i="11"/>
  <c r="CM117" i="11"/>
  <c r="AM107" i="11"/>
  <c r="AN107" i="11" s="1"/>
  <c r="I566" i="11"/>
  <c r="AM129" i="11"/>
  <c r="AN129" i="11" s="1"/>
  <c r="AM120" i="11"/>
  <c r="AN120" i="11" s="1"/>
  <c r="AO134" i="11"/>
  <c r="AP134" i="11" s="1"/>
  <c r="F356" i="11"/>
  <c r="F361" i="11"/>
  <c r="F367" i="11"/>
  <c r="F358" i="11"/>
  <c r="F371" i="11"/>
  <c r="F386" i="11"/>
  <c r="F381" i="11"/>
  <c r="F384" i="11"/>
  <c r="CP122" i="11"/>
  <c r="CP125" i="11"/>
  <c r="CP137" i="11"/>
  <c r="CP120" i="11"/>
  <c r="CP126" i="11"/>
  <c r="J563" i="11"/>
  <c r="AO129" i="11"/>
  <c r="AP129" i="11" s="1"/>
  <c r="J405" i="11"/>
  <c r="B440" i="11"/>
  <c r="E383" i="11"/>
  <c r="E379" i="11"/>
  <c r="E377" i="11"/>
  <c r="E373" i="11"/>
  <c r="B404" i="11"/>
  <c r="E384" i="11"/>
  <c r="E380" i="11"/>
  <c r="E378" i="11"/>
  <c r="E374" i="11"/>
  <c r="E368" i="11"/>
  <c r="E364" i="11"/>
  <c r="B405" i="11"/>
  <c r="E385" i="11"/>
  <c r="E381" i="11"/>
  <c r="E375" i="11"/>
  <c r="E369" i="11"/>
  <c r="E365" i="11"/>
  <c r="E361" i="11"/>
  <c r="E357" i="11"/>
  <c r="E382" i="11"/>
  <c r="E376" i="11"/>
  <c r="E370" i="11"/>
  <c r="E386" i="11"/>
  <c r="E367" i="11"/>
  <c r="E362" i="11"/>
  <c r="E334" i="11"/>
  <c r="E371" i="11"/>
  <c r="E366" i="11"/>
  <c r="E360" i="11"/>
  <c r="E359" i="11"/>
  <c r="E358" i="11"/>
  <c r="E335" i="11"/>
  <c r="E372" i="11"/>
  <c r="E363" i="11"/>
  <c r="E356" i="11"/>
  <c r="E355" i="11"/>
  <c r="F357" i="11"/>
  <c r="F362" i="11"/>
  <c r="F372" i="11"/>
  <c r="F365" i="11"/>
  <c r="F385" i="11"/>
  <c r="F374" i="11"/>
  <c r="J538" i="11"/>
  <c r="I569" i="11"/>
  <c r="CI128" i="11"/>
  <c r="CH128" i="11"/>
  <c r="CG129" i="11"/>
  <c r="CN147" i="10"/>
  <c r="CN133" i="10"/>
  <c r="CN121" i="10"/>
  <c r="CN135" i="10"/>
  <c r="CO121" i="10"/>
  <c r="CM136" i="10"/>
  <c r="CM132" i="10"/>
  <c r="N346" i="16" l="1"/>
  <c r="O346" i="16" s="1"/>
  <c r="B332" i="16"/>
  <c r="K331" i="16"/>
  <c r="L331" i="16" s="1"/>
  <c r="N326" i="13"/>
  <c r="B339" i="13"/>
  <c r="K339" i="13" s="1"/>
  <c r="CP119" i="11"/>
  <c r="CP111" i="11"/>
  <c r="CP121" i="11"/>
  <c r="AK119" i="11"/>
  <c r="AL119" i="11" s="1"/>
  <c r="CP123" i="11"/>
  <c r="CP124" i="11"/>
  <c r="CP118" i="11"/>
  <c r="AK118" i="11"/>
  <c r="AL118" i="11" s="1"/>
  <c r="AO137" i="11"/>
  <c r="AP137" i="11" s="1"/>
  <c r="AM138" i="11"/>
  <c r="AN138" i="11" s="1"/>
  <c r="AK124" i="11"/>
  <c r="AL124" i="11" s="1"/>
  <c r="AM123" i="11"/>
  <c r="AN123" i="11" s="1"/>
  <c r="AO124" i="11"/>
  <c r="AP124" i="11" s="1"/>
  <c r="AM124" i="11"/>
  <c r="AN124" i="11" s="1"/>
  <c r="AO138" i="11"/>
  <c r="AP138" i="11" s="1"/>
  <c r="AM115" i="11"/>
  <c r="AN115" i="11" s="1"/>
  <c r="AO115" i="11"/>
  <c r="AP115" i="11" s="1"/>
  <c r="AK110" i="11"/>
  <c r="AL110" i="11" s="1"/>
  <c r="CK111" i="11"/>
  <c r="AK129" i="11"/>
  <c r="AL129" i="11" s="1"/>
  <c r="CL128" i="11"/>
  <c r="CK122" i="11"/>
  <c r="CK137" i="11"/>
  <c r="CK119" i="11"/>
  <c r="CL124" i="11"/>
  <c r="CL119" i="11"/>
  <c r="CK120" i="11"/>
  <c r="CK123" i="11"/>
  <c r="CK124" i="11"/>
  <c r="CL127" i="11"/>
  <c r="AK125" i="11"/>
  <c r="AL125" i="11" s="1"/>
  <c r="CL137" i="11"/>
  <c r="CL123" i="11"/>
  <c r="CL111" i="11"/>
  <c r="CK121" i="11"/>
  <c r="AK127" i="11"/>
  <c r="AL127" i="11" s="1"/>
  <c r="CL121" i="11"/>
  <c r="CL126" i="11"/>
  <c r="CK128" i="11"/>
  <c r="CK127" i="11"/>
  <c r="CL122" i="11"/>
  <c r="CK125" i="11"/>
  <c r="CL125" i="11"/>
  <c r="CL120" i="11"/>
  <c r="AK117" i="11"/>
  <c r="AL117" i="11" s="1"/>
  <c r="CJ125" i="11"/>
  <c r="AK134" i="11"/>
  <c r="AL134" i="11" s="1"/>
  <c r="CJ111" i="11"/>
  <c r="Z121" i="11"/>
  <c r="BS123" i="11" s="1"/>
  <c r="CJ121" i="11"/>
  <c r="CJ122" i="11"/>
  <c r="CJ124" i="11"/>
  <c r="CJ119" i="11"/>
  <c r="CJ123" i="11"/>
  <c r="CJ128" i="11"/>
  <c r="CJ126" i="11"/>
  <c r="CJ137" i="11"/>
  <c r="CJ120" i="11"/>
  <c r="AK135" i="11"/>
  <c r="AL135" i="11" s="1"/>
  <c r="AO114" i="11"/>
  <c r="AP114" i="11" s="1"/>
  <c r="AO126" i="11"/>
  <c r="AP126" i="11" s="1"/>
  <c r="K578" i="11"/>
  <c r="AM125" i="11"/>
  <c r="AN125" i="11" s="1"/>
  <c r="AO125" i="11"/>
  <c r="AP125" i="11" s="1"/>
  <c r="AK138" i="11"/>
  <c r="AL138" i="11" s="1"/>
  <c r="AK114" i="11"/>
  <c r="AL114" i="11" s="1"/>
  <c r="AK123" i="11"/>
  <c r="AL123" i="11" s="1"/>
  <c r="AK116" i="11"/>
  <c r="M602" i="11" s="1"/>
  <c r="AK108" i="11"/>
  <c r="AL108" i="11" s="1"/>
  <c r="J578" i="11"/>
  <c r="AO113" i="11"/>
  <c r="AP113" i="11" s="1"/>
  <c r="AO133" i="11"/>
  <c r="AP133" i="11" s="1"/>
  <c r="AM133" i="11"/>
  <c r="AN133" i="11" s="1"/>
  <c r="AO112" i="11"/>
  <c r="AP112" i="11" s="1"/>
  <c r="AM113" i="11"/>
  <c r="AN113" i="11" s="1"/>
  <c r="AO132" i="11"/>
  <c r="AP132" i="11" s="1"/>
  <c r="AK111" i="11"/>
  <c r="AL111" i="11" s="1"/>
  <c r="AK132" i="11"/>
  <c r="AL132" i="11" s="1"/>
  <c r="AK136" i="11"/>
  <c r="AL136" i="11" s="1"/>
  <c r="AK133" i="11"/>
  <c r="AL133" i="11" s="1"/>
  <c r="AK137" i="11"/>
  <c r="AL137" i="11" s="1"/>
  <c r="AK113" i="11"/>
  <c r="AL113" i="11" s="1"/>
  <c r="AK115" i="11"/>
  <c r="AM121" i="11"/>
  <c r="AN121" i="11" s="1"/>
  <c r="AK122" i="11"/>
  <c r="AL122" i="11" s="1"/>
  <c r="AM122" i="11"/>
  <c r="AN122" i="11" s="1"/>
  <c r="AO121" i="11"/>
  <c r="AP121" i="11" s="1"/>
  <c r="AK121" i="11"/>
  <c r="AL121" i="11" s="1"/>
  <c r="AM128" i="11"/>
  <c r="AN128" i="11" s="1"/>
  <c r="AK112" i="11"/>
  <c r="AL112" i="11" s="1"/>
  <c r="AK128" i="11"/>
  <c r="AL128" i="11" s="1"/>
  <c r="K590" i="11"/>
  <c r="BA140" i="11"/>
  <c r="BA141" i="11" s="1"/>
  <c r="BN105" i="11" s="1"/>
  <c r="BN113" i="11" s="1"/>
  <c r="BP113" i="11" s="1"/>
  <c r="AU117" i="11"/>
  <c r="AK126" i="11"/>
  <c r="AL126" i="11" s="1"/>
  <c r="CF138" i="11"/>
  <c r="CF117" i="11"/>
  <c r="AM127" i="11"/>
  <c r="AN127" i="11" s="1"/>
  <c r="AO127" i="11"/>
  <c r="AP127" i="11" s="1"/>
  <c r="AU138" i="11"/>
  <c r="AK120" i="11"/>
  <c r="AL120" i="11" s="1"/>
  <c r="AV130" i="11"/>
  <c r="P140" i="11"/>
  <c r="AK131" i="11"/>
  <c r="AL131" i="11" s="1"/>
  <c r="AK109" i="11"/>
  <c r="AL109" i="11" s="1"/>
  <c r="AM130" i="11"/>
  <c r="AN130" i="11" s="1"/>
  <c r="AO130" i="11"/>
  <c r="AP130" i="11" s="1"/>
  <c r="AK130" i="11"/>
  <c r="AL130" i="11" s="1"/>
  <c r="CD140" i="11"/>
  <c r="CE140" i="11" s="1"/>
  <c r="AO131" i="11"/>
  <c r="AP131" i="11" s="1"/>
  <c r="N596" i="11"/>
  <c r="CQ118" i="11"/>
  <c r="L593" i="11"/>
  <c r="CQ119" i="11"/>
  <c r="CR118" i="11"/>
  <c r="CR127" i="11"/>
  <c r="CR119" i="11"/>
  <c r="CQ128" i="11"/>
  <c r="M593" i="11"/>
  <c r="J614" i="11"/>
  <c r="K614" i="11"/>
  <c r="L591" i="11"/>
  <c r="M591" i="11"/>
  <c r="CJ129" i="11"/>
  <c r="CG130" i="11"/>
  <c r="CI129" i="11"/>
  <c r="CL129" i="11" s="1"/>
  <c r="CH129" i="11"/>
  <c r="CK129" i="11" s="1"/>
  <c r="J620" i="11"/>
  <c r="K620" i="11"/>
  <c r="K579" i="11"/>
  <c r="J579" i="11"/>
  <c r="K569" i="11"/>
  <c r="J569" i="11"/>
  <c r="J612" i="11"/>
  <c r="K612" i="11"/>
  <c r="K605" i="11"/>
  <c r="J605" i="11"/>
  <c r="K611" i="11"/>
  <c r="J611" i="11"/>
  <c r="J598" i="11"/>
  <c r="K598" i="11"/>
  <c r="J580" i="11"/>
  <c r="K580" i="11"/>
  <c r="J566" i="11"/>
  <c r="K566" i="11"/>
  <c r="K603" i="11"/>
  <c r="J603" i="11"/>
  <c r="A407" i="11"/>
  <c r="D406" i="11"/>
  <c r="C406" i="11"/>
  <c r="J406" i="11"/>
  <c r="K597" i="11"/>
  <c r="J597" i="11"/>
  <c r="J602" i="11"/>
  <c r="K602" i="11"/>
  <c r="J559" i="11"/>
  <c r="K559" i="11"/>
  <c r="K539" i="11"/>
  <c r="CN129" i="11"/>
  <c r="CQ129" i="11" s="1"/>
  <c r="CP129" i="11"/>
  <c r="CM130" i="11"/>
  <c r="CO129" i="11"/>
  <c r="CR129" i="11" s="1"/>
  <c r="J582" i="11"/>
  <c r="K582" i="11"/>
  <c r="J568" i="11"/>
  <c r="K568" i="11"/>
  <c r="J574" i="11"/>
  <c r="K574" i="11"/>
  <c r="K588" i="11"/>
  <c r="J588" i="11"/>
  <c r="K593" i="11"/>
  <c r="J593" i="11"/>
  <c r="J560" i="11"/>
  <c r="K560" i="11"/>
  <c r="J564" i="11"/>
  <c r="K564" i="11"/>
  <c r="K623" i="11"/>
  <c r="J623" i="11"/>
  <c r="K585" i="11"/>
  <c r="J585" i="11"/>
  <c r="K621" i="11"/>
  <c r="J621" i="11"/>
  <c r="A337" i="11"/>
  <c r="J336" i="11"/>
  <c r="F336" i="11"/>
  <c r="K616" i="11"/>
  <c r="J616" i="11"/>
  <c r="J608" i="11"/>
  <c r="K608" i="11"/>
  <c r="K618" i="11"/>
  <c r="J618" i="11"/>
  <c r="J604" i="11"/>
  <c r="K604" i="11"/>
  <c r="J596" i="11"/>
  <c r="K596" i="11"/>
  <c r="K571" i="11"/>
  <c r="J571" i="11"/>
  <c r="K600" i="11"/>
  <c r="J600" i="11"/>
  <c r="K622" i="11"/>
  <c r="J622" i="11"/>
  <c r="K587" i="11"/>
  <c r="J587" i="11"/>
  <c r="J570" i="11"/>
  <c r="K570" i="11"/>
  <c r="K615" i="11"/>
  <c r="J615" i="11"/>
  <c r="K607" i="11"/>
  <c r="J607" i="11"/>
  <c r="K619" i="11"/>
  <c r="J619" i="11"/>
  <c r="K606" i="11"/>
  <c r="J606" i="11"/>
  <c r="K610" i="11"/>
  <c r="J610" i="11"/>
  <c r="K601" i="11"/>
  <c r="J601" i="11"/>
  <c r="K577" i="11"/>
  <c r="J577" i="11"/>
  <c r="CG117" i="11"/>
  <c r="CJ118" i="11"/>
  <c r="CI118" i="11"/>
  <c r="CL118" i="11" s="1"/>
  <c r="CH118" i="11"/>
  <c r="CK118" i="11" s="1"/>
  <c r="K567" i="11"/>
  <c r="J567" i="11"/>
  <c r="N593" i="11"/>
  <c r="K594" i="11"/>
  <c r="J594" i="11"/>
  <c r="K599" i="11"/>
  <c r="J599" i="11"/>
  <c r="K573" i="11"/>
  <c r="J573" i="11"/>
  <c r="J624" i="11"/>
  <c r="K624" i="11"/>
  <c r="K617" i="11"/>
  <c r="J617" i="11"/>
  <c r="K595" i="11"/>
  <c r="J595" i="11"/>
  <c r="K538" i="11"/>
  <c r="J584" i="11"/>
  <c r="K584" i="11"/>
  <c r="CR128" i="11"/>
  <c r="J562" i="11"/>
  <c r="K562" i="11"/>
  <c r="K613" i="11"/>
  <c r="J613" i="11"/>
  <c r="K581" i="11"/>
  <c r="J581" i="11"/>
  <c r="J576" i="11"/>
  <c r="K576" i="11"/>
  <c r="J561" i="11"/>
  <c r="K561" i="11"/>
  <c r="CO117" i="11"/>
  <c r="CR117" i="11" s="1"/>
  <c r="CM116" i="11"/>
  <c r="CN117" i="11"/>
  <c r="CQ117" i="11" s="1"/>
  <c r="CP117" i="11"/>
  <c r="K583" i="11"/>
  <c r="J583" i="11"/>
  <c r="J586" i="11"/>
  <c r="K586" i="11"/>
  <c r="K565" i="11"/>
  <c r="J565" i="11"/>
  <c r="K589" i="11"/>
  <c r="J589" i="11"/>
  <c r="K609" i="11"/>
  <c r="J609" i="11"/>
  <c r="K575" i="11"/>
  <c r="J575" i="11"/>
  <c r="I635" i="11"/>
  <c r="CR124" i="11"/>
  <c r="CR137" i="11"/>
  <c r="CR121" i="11"/>
  <c r="CQ111" i="11"/>
  <c r="CQ124" i="11"/>
  <c r="CR122" i="11"/>
  <c r="CR123" i="11"/>
  <c r="CQ137" i="11"/>
  <c r="CR125" i="11"/>
  <c r="CQ125" i="11"/>
  <c r="CQ123" i="11"/>
  <c r="CR111" i="11"/>
  <c r="CQ122" i="11"/>
  <c r="CQ121" i="11"/>
  <c r="CQ126" i="11"/>
  <c r="CQ120" i="11"/>
  <c r="CR126" i="11"/>
  <c r="CR120" i="11"/>
  <c r="J572" i="11"/>
  <c r="K572" i="11"/>
  <c r="CN136" i="10"/>
  <c r="CO136" i="10"/>
  <c r="CM137" i="10"/>
  <c r="CM131" i="10"/>
  <c r="CN132" i="10"/>
  <c r="CO132" i="10"/>
  <c r="M549" i="10"/>
  <c r="L549" i="10"/>
  <c r="H549" i="10"/>
  <c r="N347" i="16" l="1"/>
  <c r="O347" i="16" s="1"/>
  <c r="B333" i="16"/>
  <c r="K332" i="16"/>
  <c r="L332" i="16" s="1"/>
  <c r="O326" i="13"/>
  <c r="R327" i="13" s="1"/>
  <c r="R328" i="13" s="1"/>
  <c r="L604" i="11"/>
  <c r="M605" i="11"/>
  <c r="M604" i="11"/>
  <c r="N604" i="11"/>
  <c r="L605" i="11"/>
  <c r="N605" i="11"/>
  <c r="N610" i="11"/>
  <c r="M610" i="11"/>
  <c r="L610" i="11"/>
  <c r="M603" i="11"/>
  <c r="L596" i="11"/>
  <c r="M596" i="11"/>
  <c r="N603" i="11"/>
  <c r="L603" i="11"/>
  <c r="N615" i="11"/>
  <c r="M615" i="11"/>
  <c r="L615" i="11"/>
  <c r="M600" i="11"/>
  <c r="L600" i="11"/>
  <c r="N600" i="11"/>
  <c r="N594" i="11"/>
  <c r="N611" i="11"/>
  <c r="M611" i="11"/>
  <c r="L621" i="11"/>
  <c r="M609" i="11"/>
  <c r="M620" i="11"/>
  <c r="M613" i="11"/>
  <c r="N620" i="11"/>
  <c r="M621" i="11"/>
  <c r="L611" i="11"/>
  <c r="L620" i="11"/>
  <c r="L613" i="11"/>
  <c r="L609" i="11"/>
  <c r="N613" i="11"/>
  <c r="N621" i="11"/>
  <c r="L617" i="11"/>
  <c r="N617" i="11"/>
  <c r="N624" i="11"/>
  <c r="M623" i="11"/>
  <c r="L602" i="11"/>
  <c r="L624" i="11"/>
  <c r="M624" i="11"/>
  <c r="N602" i="11"/>
  <c r="M616" i="11"/>
  <c r="M608" i="11"/>
  <c r="L608" i="11"/>
  <c r="L607" i="11"/>
  <c r="AL116" i="11"/>
  <c r="M617" i="11"/>
  <c r="N609" i="11"/>
  <c r="L616" i="11"/>
  <c r="M597" i="11"/>
  <c r="N608" i="11"/>
  <c r="M622" i="11"/>
  <c r="N623" i="11"/>
  <c r="M599" i="11"/>
  <c r="L622" i="11"/>
  <c r="L623" i="11"/>
  <c r="L619" i="11"/>
  <c r="M619" i="11"/>
  <c r="N619" i="11"/>
  <c r="L599" i="11"/>
  <c r="L594" i="11"/>
  <c r="N599" i="11"/>
  <c r="N622" i="11"/>
  <c r="M594" i="11"/>
  <c r="L618" i="11"/>
  <c r="M618" i="11"/>
  <c r="N597" i="11"/>
  <c r="L597" i="11"/>
  <c r="N618" i="11"/>
  <c r="N612" i="11"/>
  <c r="N616" i="11"/>
  <c r="M614" i="11"/>
  <c r="L614" i="11"/>
  <c r="N614" i="11"/>
  <c r="L598" i="11"/>
  <c r="N595" i="11"/>
  <c r="L606" i="11"/>
  <c r="N606" i="11"/>
  <c r="M598" i="11"/>
  <c r="CF140" i="11"/>
  <c r="AL115" i="11"/>
  <c r="M601" i="11"/>
  <c r="L601" i="11"/>
  <c r="L595" i="11"/>
  <c r="N598" i="11"/>
  <c r="M595" i="11"/>
  <c r="N601" i="11"/>
  <c r="M606" i="11"/>
  <c r="N607" i="11"/>
  <c r="M607" i="11"/>
  <c r="M612" i="11"/>
  <c r="L612" i="11"/>
  <c r="J635" i="11"/>
  <c r="H638" i="11" s="1"/>
  <c r="O631" i="11" s="1"/>
  <c r="Q631" i="11" s="1"/>
  <c r="CM115" i="11"/>
  <c r="CP116" i="11"/>
  <c r="CO116" i="11"/>
  <c r="CR116" i="11" s="1"/>
  <c r="CN116" i="11"/>
  <c r="CQ116" i="11" s="1"/>
  <c r="A408" i="11"/>
  <c r="D407" i="11"/>
  <c r="C407" i="11"/>
  <c r="J407" i="11"/>
  <c r="B407" i="11"/>
  <c r="K635" i="11"/>
  <c r="H640" i="11" s="1"/>
  <c r="A338" i="11"/>
  <c r="J337" i="11"/>
  <c r="F337" i="11"/>
  <c r="E337" i="11"/>
  <c r="M592" i="11"/>
  <c r="L592" i="11"/>
  <c r="CH130" i="11"/>
  <c r="CK130" i="11" s="1"/>
  <c r="CG131" i="11"/>
  <c r="CJ130" i="11"/>
  <c r="CI130" i="11"/>
  <c r="CL130" i="11" s="1"/>
  <c r="CJ117" i="11"/>
  <c r="CI117" i="11"/>
  <c r="CL117" i="11" s="1"/>
  <c r="CG116" i="11"/>
  <c r="CH117" i="11"/>
  <c r="CK117" i="11" s="1"/>
  <c r="CP130" i="11"/>
  <c r="CO130" i="11"/>
  <c r="CR130" i="11" s="1"/>
  <c r="CN130" i="11"/>
  <c r="CQ130" i="11" s="1"/>
  <c r="CM131" i="11"/>
  <c r="CM138" i="10"/>
  <c r="CN137" i="10"/>
  <c r="CO137" i="10"/>
  <c r="CM130" i="10"/>
  <c r="CN131" i="10"/>
  <c r="CO131" i="10"/>
  <c r="AC222" i="10"/>
  <c r="V222" i="10" s="1"/>
  <c r="AB222" i="10"/>
  <c r="U222" i="10" s="1"/>
  <c r="AA222" i="10"/>
  <c r="T222" i="10" s="1"/>
  <c r="H399" i="10"/>
  <c r="N348" i="16" l="1"/>
  <c r="O348" i="16" s="1"/>
  <c r="B334" i="16"/>
  <c r="K333" i="16"/>
  <c r="L333" i="16" s="1"/>
  <c r="L352" i="11"/>
  <c r="L363" i="11"/>
  <c r="L346" i="11"/>
  <c r="L356" i="11"/>
  <c r="F404" i="11"/>
  <c r="F415" i="11"/>
  <c r="L361" i="11"/>
  <c r="F439" i="11"/>
  <c r="L334" i="11"/>
  <c r="L339" i="11"/>
  <c r="F422" i="11"/>
  <c r="L377" i="11"/>
  <c r="F414" i="11"/>
  <c r="F410" i="11"/>
  <c r="F413" i="11"/>
  <c r="F411" i="11"/>
  <c r="L337" i="11"/>
  <c r="L343" i="11"/>
  <c r="F417" i="11"/>
  <c r="L341" i="11"/>
  <c r="F440" i="11"/>
  <c r="L362" i="11"/>
  <c r="F420" i="11"/>
  <c r="F433" i="11"/>
  <c r="L348" i="11"/>
  <c r="L366" i="11"/>
  <c r="F437" i="11"/>
  <c r="F421" i="11"/>
  <c r="L344" i="11"/>
  <c r="L342" i="11"/>
  <c r="F428" i="11"/>
  <c r="F432" i="11"/>
  <c r="L357" i="11"/>
  <c r="F418" i="11"/>
  <c r="F408" i="11"/>
  <c r="L347" i="11"/>
  <c r="F424" i="11"/>
  <c r="L360" i="11"/>
  <c r="L386" i="11"/>
  <c r="L353" i="11"/>
  <c r="L367" i="11"/>
  <c r="F430" i="11"/>
  <c r="F426" i="11"/>
  <c r="L354" i="11"/>
  <c r="F412" i="11"/>
  <c r="B320" i="11"/>
  <c r="F436" i="11"/>
  <c r="F427" i="11"/>
  <c r="F438" i="11"/>
  <c r="L365" i="11"/>
  <c r="F409" i="11"/>
  <c r="L382" i="11"/>
  <c r="L364" i="11"/>
  <c r="L349" i="11"/>
  <c r="F434" i="11"/>
  <c r="L335" i="11"/>
  <c r="F435" i="11"/>
  <c r="L383" i="11"/>
  <c r="L375" i="11"/>
  <c r="F425" i="11"/>
  <c r="L368" i="11"/>
  <c r="F429" i="11"/>
  <c r="L376" i="11"/>
  <c r="L380" i="11"/>
  <c r="L345" i="11"/>
  <c r="L369" i="11"/>
  <c r="O554" i="11"/>
  <c r="Q554" i="11" s="1"/>
  <c r="D665" i="11" s="1"/>
  <c r="O542" i="11"/>
  <c r="Q542" i="11" s="1"/>
  <c r="D653" i="11" s="1"/>
  <c r="O559" i="11"/>
  <c r="Q559" i="11" s="1"/>
  <c r="D670" i="11" s="1"/>
  <c r="O597" i="11"/>
  <c r="Q597" i="11" s="1"/>
  <c r="S597" i="11" s="1"/>
  <c r="W597" i="11" s="1"/>
  <c r="L381" i="11"/>
  <c r="L384" i="11"/>
  <c r="O548" i="11"/>
  <c r="Q548" i="11" s="1"/>
  <c r="S548" i="11" s="1"/>
  <c r="W548" i="11" s="1"/>
  <c r="O561" i="11"/>
  <c r="Q561" i="11" s="1"/>
  <c r="S561" i="11" s="1"/>
  <c r="W561" i="11" s="1"/>
  <c r="O604" i="11"/>
  <c r="Q604" i="11" s="1"/>
  <c r="S604" i="11" s="1"/>
  <c r="W604" i="11" s="1"/>
  <c r="L385" i="11"/>
  <c r="O558" i="11"/>
  <c r="Q558" i="11" s="1"/>
  <c r="D669" i="11" s="1"/>
  <c r="O556" i="11"/>
  <c r="Q556" i="11" s="1"/>
  <c r="D667" i="11" s="1"/>
  <c r="O563" i="11"/>
  <c r="Q563" i="11" s="1"/>
  <c r="S563" i="11" s="1"/>
  <c r="W563" i="11" s="1"/>
  <c r="O566" i="11"/>
  <c r="Q566" i="11" s="1"/>
  <c r="S566" i="11" s="1"/>
  <c r="W566" i="11" s="1"/>
  <c r="L355" i="11"/>
  <c r="L338" i="11"/>
  <c r="F416" i="11"/>
  <c r="L373" i="11"/>
  <c r="L370" i="11"/>
  <c r="O538" i="11"/>
  <c r="Q538" i="11" s="1"/>
  <c r="S538" i="11" s="1"/>
  <c r="W538" i="11" s="1"/>
  <c r="O540" i="11"/>
  <c r="Q540" i="11" s="1"/>
  <c r="D651" i="11" s="1"/>
  <c r="O543" i="11"/>
  <c r="Q543" i="11" s="1"/>
  <c r="D654" i="11" s="1"/>
  <c r="O541" i="11"/>
  <c r="Q541" i="11" s="1"/>
  <c r="D652" i="11" s="1"/>
  <c r="O569" i="11"/>
  <c r="Q569" i="11" s="1"/>
  <c r="S569" i="11" s="1"/>
  <c r="W569" i="11" s="1"/>
  <c r="O574" i="11"/>
  <c r="Q574" i="11" s="1"/>
  <c r="S574" i="11" s="1"/>
  <c r="W574" i="11" s="1"/>
  <c r="L336" i="11"/>
  <c r="L351" i="11"/>
  <c r="F419" i="11"/>
  <c r="F406" i="11"/>
  <c r="L350" i="11"/>
  <c r="F407" i="11"/>
  <c r="L379" i="11"/>
  <c r="L371" i="11"/>
  <c r="O544" i="11"/>
  <c r="Q544" i="11" s="1"/>
  <c r="D655" i="11" s="1"/>
  <c r="O546" i="11"/>
  <c r="Q546" i="11" s="1"/>
  <c r="D657" i="11" s="1"/>
  <c r="O549" i="11"/>
  <c r="Q549" i="11" s="1"/>
  <c r="D660" i="11" s="1"/>
  <c r="O547" i="11"/>
  <c r="Q547" i="11" s="1"/>
  <c r="D658" i="11" s="1"/>
  <c r="O571" i="11"/>
  <c r="Q571" i="11" s="1"/>
  <c r="S571" i="11" s="1"/>
  <c r="W571" i="11" s="1"/>
  <c r="O600" i="11"/>
  <c r="Q600" i="11" s="1"/>
  <c r="S600" i="11" s="1"/>
  <c r="W600" i="11" s="1"/>
  <c r="L359" i="11"/>
  <c r="F405" i="11"/>
  <c r="F431" i="11"/>
  <c r="L340" i="11"/>
  <c r="L358" i="11"/>
  <c r="F423" i="11"/>
  <c r="P210" i="11"/>
  <c r="L372" i="11"/>
  <c r="O550" i="11"/>
  <c r="Q550" i="11" s="1"/>
  <c r="D661" i="11" s="1"/>
  <c r="L374" i="11"/>
  <c r="O553" i="11"/>
  <c r="Q553" i="11" s="1"/>
  <c r="S553" i="11" s="1"/>
  <c r="W553" i="11" s="1"/>
  <c r="O551" i="11"/>
  <c r="Q551" i="11" s="1"/>
  <c r="D662" i="11" s="1"/>
  <c r="O575" i="11"/>
  <c r="Q575" i="11" s="1"/>
  <c r="S575" i="11" s="1"/>
  <c r="W575" i="11" s="1"/>
  <c r="O593" i="11"/>
  <c r="Q593" i="11" s="1"/>
  <c r="S593" i="11" s="1"/>
  <c r="W593" i="11" s="1"/>
  <c r="O539" i="11"/>
  <c r="Q539" i="11" s="1"/>
  <c r="S539" i="11" s="1"/>
  <c r="W539" i="11" s="1"/>
  <c r="O557" i="11"/>
  <c r="Q557" i="11" s="1"/>
  <c r="S557" i="11" s="1"/>
  <c r="W557" i="11" s="1"/>
  <c r="O587" i="11"/>
  <c r="Q587" i="11" s="1"/>
  <c r="S587" i="11" s="1"/>
  <c r="W587" i="11" s="1"/>
  <c r="O555" i="11"/>
  <c r="Q555" i="11" s="1"/>
  <c r="D666" i="11" s="1"/>
  <c r="O567" i="11"/>
  <c r="Q567" i="11" s="1"/>
  <c r="S567" i="11" s="1"/>
  <c r="W567" i="11" s="1"/>
  <c r="O579" i="11"/>
  <c r="Q579" i="11" s="1"/>
  <c r="S579" i="11" s="1"/>
  <c r="W579" i="11" s="1"/>
  <c r="O589" i="11"/>
  <c r="Q589" i="11" s="1"/>
  <c r="S589" i="11" s="1"/>
  <c r="W589" i="11" s="1"/>
  <c r="O584" i="11"/>
  <c r="Q584" i="11" s="1"/>
  <c r="S584" i="11" s="1"/>
  <c r="W584" i="11" s="1"/>
  <c r="O602" i="11"/>
  <c r="Q602" i="11" s="1"/>
  <c r="S602" i="11" s="1"/>
  <c r="W602" i="11" s="1"/>
  <c r="O581" i="11"/>
  <c r="Q581" i="11" s="1"/>
  <c r="S581" i="11" s="1"/>
  <c r="W581" i="11" s="1"/>
  <c r="O564" i="11"/>
  <c r="Q564" i="11" s="1"/>
  <c r="S564" i="11" s="1"/>
  <c r="W564" i="11" s="1"/>
  <c r="O586" i="11"/>
  <c r="Q586" i="11" s="1"/>
  <c r="S586" i="11" s="1"/>
  <c r="W586" i="11" s="1"/>
  <c r="O613" i="11"/>
  <c r="Q613" i="11" s="1"/>
  <c r="S613" i="11" s="1"/>
  <c r="W613" i="11" s="1"/>
  <c r="O552" i="11"/>
  <c r="Q552" i="11" s="1"/>
  <c r="S552" i="11" s="1"/>
  <c r="W552" i="11" s="1"/>
  <c r="O545" i="11"/>
  <c r="Q545" i="11" s="1"/>
  <c r="D656" i="11" s="1"/>
  <c r="O596" i="11"/>
  <c r="Q596" i="11" s="1"/>
  <c r="S596" i="11" s="1"/>
  <c r="W596" i="11" s="1"/>
  <c r="O565" i="11"/>
  <c r="Q565" i="11" s="1"/>
  <c r="S565" i="11" s="1"/>
  <c r="W565" i="11" s="1"/>
  <c r="O573" i="11"/>
  <c r="Q573" i="11" s="1"/>
  <c r="S573" i="11" s="1"/>
  <c r="W573" i="11" s="1"/>
  <c r="O583" i="11"/>
  <c r="Q583" i="11" s="1"/>
  <c r="S583" i="11" s="1"/>
  <c r="W583" i="11" s="1"/>
  <c r="O562" i="11"/>
  <c r="Q562" i="11" s="1"/>
  <c r="S562" i="11" s="1"/>
  <c r="W562" i="11" s="1"/>
  <c r="O576" i="11"/>
  <c r="Q576" i="11" s="1"/>
  <c r="S576" i="11" s="1"/>
  <c r="W576" i="11" s="1"/>
  <c r="O590" i="11"/>
  <c r="Q590" i="11" s="1"/>
  <c r="S590" i="11" s="1"/>
  <c r="W590" i="11" s="1"/>
  <c r="O615" i="11"/>
  <c r="Q615" i="11" s="1"/>
  <c r="S615" i="11" s="1"/>
  <c r="W615" i="11" s="1"/>
  <c r="O577" i="11"/>
  <c r="Q577" i="11" s="1"/>
  <c r="S577" i="11" s="1"/>
  <c r="W577" i="11" s="1"/>
  <c r="O585" i="11"/>
  <c r="Q585" i="11" s="1"/>
  <c r="S585" i="11" s="1"/>
  <c r="W585" i="11" s="1"/>
  <c r="O560" i="11"/>
  <c r="Q560" i="11" s="1"/>
  <c r="S560" i="11" s="1"/>
  <c r="W560" i="11" s="1"/>
  <c r="O568" i="11"/>
  <c r="Q568" i="11" s="1"/>
  <c r="S568" i="11" s="1"/>
  <c r="W568" i="11" s="1"/>
  <c r="O578" i="11"/>
  <c r="Q578" i="11" s="1"/>
  <c r="S578" i="11" s="1"/>
  <c r="W578" i="11" s="1"/>
  <c r="O591" i="11"/>
  <c r="Q591" i="11" s="1"/>
  <c r="S591" i="11" s="1"/>
  <c r="W591" i="11" s="1"/>
  <c r="O594" i="11"/>
  <c r="Q594" i="11" s="1"/>
  <c r="S594" i="11" s="1"/>
  <c r="W594" i="11" s="1"/>
  <c r="O607" i="11"/>
  <c r="Q607" i="11" s="1"/>
  <c r="S607" i="11" s="1"/>
  <c r="W607" i="11" s="1"/>
  <c r="O626" i="11"/>
  <c r="Q626" i="11" s="1"/>
  <c r="S626" i="11" s="1"/>
  <c r="W626" i="11" s="1"/>
  <c r="O570" i="11"/>
  <c r="Q570" i="11" s="1"/>
  <c r="S570" i="11" s="1"/>
  <c r="W570" i="11" s="1"/>
  <c r="O582" i="11"/>
  <c r="Q582" i="11" s="1"/>
  <c r="S582" i="11" s="1"/>
  <c r="W582" i="11" s="1"/>
  <c r="O595" i="11"/>
  <c r="Q595" i="11" s="1"/>
  <c r="S595" i="11" s="1"/>
  <c r="W595" i="11" s="1"/>
  <c r="O601" i="11"/>
  <c r="Q601" i="11" s="1"/>
  <c r="S601" i="11" s="1"/>
  <c r="W601" i="11" s="1"/>
  <c r="O620" i="11"/>
  <c r="Q620" i="11" s="1"/>
  <c r="S620" i="11" s="1"/>
  <c r="W620" i="11" s="1"/>
  <c r="O628" i="11"/>
  <c r="Q628" i="11" s="1"/>
  <c r="S628" i="11" s="1"/>
  <c r="W628" i="11" s="1"/>
  <c r="O572" i="11"/>
  <c r="Q572" i="11" s="1"/>
  <c r="S572" i="11" s="1"/>
  <c r="W572" i="11" s="1"/>
  <c r="O580" i="11"/>
  <c r="Q580" i="11" s="1"/>
  <c r="S580" i="11" s="1"/>
  <c r="W580" i="11" s="1"/>
  <c r="O588" i="11"/>
  <c r="Q588" i="11" s="1"/>
  <c r="S588" i="11" s="1"/>
  <c r="W588" i="11" s="1"/>
  <c r="O624" i="11"/>
  <c r="Q624" i="11" s="1"/>
  <c r="S624" i="11" s="1"/>
  <c r="W624" i="11" s="1"/>
  <c r="O612" i="11"/>
  <c r="Q612" i="11" s="1"/>
  <c r="S612" i="11" s="1"/>
  <c r="W612" i="11" s="1"/>
  <c r="O599" i="11"/>
  <c r="Q599" i="11" s="1"/>
  <c r="S599" i="11" s="1"/>
  <c r="W599" i="11" s="1"/>
  <c r="O606" i="11"/>
  <c r="Q606" i="11" s="1"/>
  <c r="S606" i="11" s="1"/>
  <c r="W606" i="11" s="1"/>
  <c r="O618" i="11"/>
  <c r="Q618" i="11" s="1"/>
  <c r="S618" i="11" s="1"/>
  <c r="W618" i="11" s="1"/>
  <c r="O629" i="11"/>
  <c r="Q629" i="11" s="1"/>
  <c r="S629" i="11" s="1"/>
  <c r="W629" i="11" s="1"/>
  <c r="O616" i="11"/>
  <c r="Q616" i="11" s="1"/>
  <c r="O603" i="11"/>
  <c r="Q603" i="11" s="1"/>
  <c r="S603" i="11" s="1"/>
  <c r="W603" i="11" s="1"/>
  <c r="O610" i="11"/>
  <c r="Q610" i="11" s="1"/>
  <c r="S610" i="11" s="1"/>
  <c r="W610" i="11" s="1"/>
  <c r="O622" i="11"/>
  <c r="Q622" i="11" s="1"/>
  <c r="S622" i="11" s="1"/>
  <c r="W622" i="11" s="1"/>
  <c r="O632" i="11"/>
  <c r="Q632" i="11" s="1"/>
  <c r="S632" i="11" s="1"/>
  <c r="W632" i="11" s="1"/>
  <c r="O598" i="11"/>
  <c r="Q598" i="11" s="1"/>
  <c r="S598" i="11" s="1"/>
  <c r="W598" i="11" s="1"/>
  <c r="O592" i="11"/>
  <c r="Q592" i="11" s="1"/>
  <c r="S592" i="11" s="1"/>
  <c r="W592" i="11" s="1"/>
  <c r="O614" i="11"/>
  <c r="Q614" i="11" s="1"/>
  <c r="S614" i="11" s="1"/>
  <c r="W614" i="11" s="1"/>
  <c r="O608" i="11"/>
  <c r="Q608" i="11" s="1"/>
  <c r="S608" i="11" s="1"/>
  <c r="W608" i="11" s="1"/>
  <c r="O611" i="11"/>
  <c r="Q611" i="11" s="1"/>
  <c r="S611" i="11" s="1"/>
  <c r="W611" i="11" s="1"/>
  <c r="O605" i="11"/>
  <c r="Q605" i="11" s="1"/>
  <c r="S605" i="11" s="1"/>
  <c r="W605" i="11" s="1"/>
  <c r="O619" i="11"/>
  <c r="Q619" i="11" s="1"/>
  <c r="S619" i="11" s="1"/>
  <c r="W619" i="11" s="1"/>
  <c r="O617" i="11"/>
  <c r="Q617" i="11" s="1"/>
  <c r="S617" i="11" s="1"/>
  <c r="W617" i="11" s="1"/>
  <c r="O630" i="11"/>
  <c r="Q630" i="11" s="1"/>
  <c r="S630" i="11" s="1"/>
  <c r="W630" i="11" s="1"/>
  <c r="O627" i="11"/>
  <c r="Q627" i="11" s="1"/>
  <c r="S627" i="11" s="1"/>
  <c r="W627" i="11" s="1"/>
  <c r="O609" i="11"/>
  <c r="Q609" i="11" s="1"/>
  <c r="S609" i="11" s="1"/>
  <c r="W609" i="11" s="1"/>
  <c r="O623" i="11"/>
  <c r="Q623" i="11" s="1"/>
  <c r="S623" i="11" s="1"/>
  <c r="W623" i="11" s="1"/>
  <c r="O621" i="11"/>
  <c r="Q621" i="11" s="1"/>
  <c r="S621" i="11" s="1"/>
  <c r="W621" i="11" s="1"/>
  <c r="O625" i="11"/>
  <c r="Q625" i="11" s="1"/>
  <c r="S625" i="11" s="1"/>
  <c r="W625" i="11" s="1"/>
  <c r="CP131" i="11"/>
  <c r="CO131" i="11"/>
  <c r="CR131" i="11" s="1"/>
  <c r="CN131" i="11"/>
  <c r="CQ131" i="11" s="1"/>
  <c r="CM132" i="11"/>
  <c r="CH131" i="11"/>
  <c r="CK131" i="11" s="1"/>
  <c r="CG132" i="11"/>
  <c r="CJ131" i="11"/>
  <c r="CI131" i="11"/>
  <c r="CL131" i="11" s="1"/>
  <c r="CI116" i="11"/>
  <c r="CL116" i="11" s="1"/>
  <c r="CH116" i="11"/>
  <c r="CK116" i="11" s="1"/>
  <c r="CG115" i="11"/>
  <c r="CJ116" i="11"/>
  <c r="A339" i="11"/>
  <c r="J338" i="11"/>
  <c r="F338" i="11"/>
  <c r="E338" i="11"/>
  <c r="CM114" i="11"/>
  <c r="CP115" i="11"/>
  <c r="CO115" i="11"/>
  <c r="CR115" i="11" s="1"/>
  <c r="CN115" i="11"/>
  <c r="CQ115" i="11" s="1"/>
  <c r="P632" i="11"/>
  <c r="R632" i="11" s="1"/>
  <c r="T632" i="11" s="1"/>
  <c r="V632" i="11" s="1"/>
  <c r="P628" i="11"/>
  <c r="R628" i="11" s="1"/>
  <c r="T628" i="11" s="1"/>
  <c r="V628" i="11" s="1"/>
  <c r="P630" i="11"/>
  <c r="R630" i="11" s="1"/>
  <c r="T630" i="11" s="1"/>
  <c r="V630" i="11" s="1"/>
  <c r="P626" i="11"/>
  <c r="R626" i="11" s="1"/>
  <c r="T626" i="11" s="1"/>
  <c r="V626" i="11" s="1"/>
  <c r="P624" i="11"/>
  <c r="R624" i="11" s="1"/>
  <c r="T624" i="11" s="1"/>
  <c r="V624" i="11" s="1"/>
  <c r="P631" i="11"/>
  <c r="R631" i="11" s="1"/>
  <c r="T631" i="11" s="1"/>
  <c r="V631" i="11" s="1"/>
  <c r="P629" i="11"/>
  <c r="R629" i="11" s="1"/>
  <c r="T629" i="11" s="1"/>
  <c r="V629" i="11" s="1"/>
  <c r="P627" i="11"/>
  <c r="R627" i="11" s="1"/>
  <c r="T627" i="11" s="1"/>
  <c r="V627" i="11" s="1"/>
  <c r="P625" i="11"/>
  <c r="R625" i="11" s="1"/>
  <c r="T625" i="11" s="1"/>
  <c r="V625" i="11" s="1"/>
  <c r="P622" i="11"/>
  <c r="R622" i="11" s="1"/>
  <c r="T622" i="11" s="1"/>
  <c r="V622" i="11" s="1"/>
  <c r="P618" i="11"/>
  <c r="R618" i="11" s="1"/>
  <c r="T618" i="11" s="1"/>
  <c r="V618" i="11" s="1"/>
  <c r="P623" i="11"/>
  <c r="R623" i="11" s="1"/>
  <c r="T623" i="11" s="1"/>
  <c r="V623" i="11" s="1"/>
  <c r="P619" i="11"/>
  <c r="R619" i="11" s="1"/>
  <c r="T619" i="11" s="1"/>
  <c r="V619" i="11" s="1"/>
  <c r="P620" i="11"/>
  <c r="R620" i="11" s="1"/>
  <c r="T620" i="11" s="1"/>
  <c r="V620" i="11" s="1"/>
  <c r="P616" i="11"/>
  <c r="R616" i="11" s="1"/>
  <c r="T616" i="11" s="1"/>
  <c r="V616" i="11" s="1"/>
  <c r="P621" i="11"/>
  <c r="R621" i="11" s="1"/>
  <c r="T621" i="11" s="1"/>
  <c r="V621" i="11" s="1"/>
  <c r="P610" i="11"/>
  <c r="R610" i="11" s="1"/>
  <c r="T610" i="11" s="1"/>
  <c r="V610" i="11" s="1"/>
  <c r="P606" i="11"/>
  <c r="R606" i="11" s="1"/>
  <c r="T606" i="11" s="1"/>
  <c r="V606" i="11" s="1"/>
  <c r="P615" i="11"/>
  <c r="R615" i="11" s="1"/>
  <c r="T615" i="11" s="1"/>
  <c r="V615" i="11" s="1"/>
  <c r="P611" i="11"/>
  <c r="R611" i="11" s="1"/>
  <c r="T611" i="11" s="1"/>
  <c r="V611" i="11" s="1"/>
  <c r="P607" i="11"/>
  <c r="R607" i="11" s="1"/>
  <c r="T607" i="11" s="1"/>
  <c r="V607" i="11" s="1"/>
  <c r="P614" i="11"/>
  <c r="R614" i="11" s="1"/>
  <c r="T614" i="11" s="1"/>
  <c r="V614" i="11" s="1"/>
  <c r="P612" i="11"/>
  <c r="R612" i="11" s="1"/>
  <c r="T612" i="11" s="1"/>
  <c r="V612" i="11" s="1"/>
  <c r="P608" i="11"/>
  <c r="R608" i="11" s="1"/>
  <c r="T608" i="11" s="1"/>
  <c r="V608" i="11" s="1"/>
  <c r="P604" i="11"/>
  <c r="R604" i="11" s="1"/>
  <c r="T604" i="11" s="1"/>
  <c r="V604" i="11" s="1"/>
  <c r="P600" i="11"/>
  <c r="R600" i="11" s="1"/>
  <c r="T600" i="11" s="1"/>
  <c r="V600" i="11" s="1"/>
  <c r="P601" i="11"/>
  <c r="R601" i="11" s="1"/>
  <c r="T601" i="11" s="1"/>
  <c r="V601" i="11" s="1"/>
  <c r="P599" i="11"/>
  <c r="R599" i="11" s="1"/>
  <c r="T599" i="11" s="1"/>
  <c r="V599" i="11" s="1"/>
  <c r="P594" i="11"/>
  <c r="R594" i="11" s="1"/>
  <c r="T594" i="11" s="1"/>
  <c r="V594" i="11" s="1"/>
  <c r="P592" i="11"/>
  <c r="R592" i="11" s="1"/>
  <c r="T592" i="11" s="1"/>
  <c r="V592" i="11" s="1"/>
  <c r="P590" i="11"/>
  <c r="R590" i="11" s="1"/>
  <c r="T590" i="11" s="1"/>
  <c r="V590" i="11" s="1"/>
  <c r="P588" i="11"/>
  <c r="R588" i="11" s="1"/>
  <c r="T588" i="11" s="1"/>
  <c r="V588" i="11" s="1"/>
  <c r="P605" i="11"/>
  <c r="R605" i="11" s="1"/>
  <c r="T605" i="11" s="1"/>
  <c r="V605" i="11" s="1"/>
  <c r="P598" i="11"/>
  <c r="R598" i="11" s="1"/>
  <c r="T598" i="11" s="1"/>
  <c r="V598" i="11" s="1"/>
  <c r="P595" i="11"/>
  <c r="R595" i="11" s="1"/>
  <c r="T595" i="11" s="1"/>
  <c r="V595" i="11" s="1"/>
  <c r="P591" i="11"/>
  <c r="R591" i="11" s="1"/>
  <c r="T591" i="11" s="1"/>
  <c r="V591" i="11" s="1"/>
  <c r="P617" i="11"/>
  <c r="R617" i="11" s="1"/>
  <c r="T617" i="11" s="1"/>
  <c r="V617" i="11" s="1"/>
  <c r="P609" i="11"/>
  <c r="R609" i="11" s="1"/>
  <c r="T609" i="11" s="1"/>
  <c r="V609" i="11" s="1"/>
  <c r="P603" i="11"/>
  <c r="R603" i="11" s="1"/>
  <c r="T603" i="11" s="1"/>
  <c r="V603" i="11" s="1"/>
  <c r="P597" i="11"/>
  <c r="R597" i="11" s="1"/>
  <c r="T597" i="11" s="1"/>
  <c r="V597" i="11" s="1"/>
  <c r="P596" i="11"/>
  <c r="R596" i="11" s="1"/>
  <c r="T596" i="11" s="1"/>
  <c r="V596" i="11" s="1"/>
  <c r="P589" i="11"/>
  <c r="R589" i="11" s="1"/>
  <c r="T589" i="11" s="1"/>
  <c r="V589" i="11" s="1"/>
  <c r="P587" i="11"/>
  <c r="R587" i="11" s="1"/>
  <c r="T587" i="11" s="1"/>
  <c r="V587" i="11" s="1"/>
  <c r="P593" i="11"/>
  <c r="R593" i="11" s="1"/>
  <c r="T593" i="11" s="1"/>
  <c r="V593" i="11" s="1"/>
  <c r="P613" i="11"/>
  <c r="R613" i="11" s="1"/>
  <c r="T613" i="11" s="1"/>
  <c r="V613" i="11" s="1"/>
  <c r="P585" i="11"/>
  <c r="R585" i="11" s="1"/>
  <c r="T585" i="11" s="1"/>
  <c r="V585" i="11" s="1"/>
  <c r="P583" i="11"/>
  <c r="R583" i="11" s="1"/>
  <c r="T583" i="11" s="1"/>
  <c r="V583" i="11" s="1"/>
  <c r="P581" i="11"/>
  <c r="R581" i="11" s="1"/>
  <c r="T581" i="11" s="1"/>
  <c r="V581" i="11" s="1"/>
  <c r="P579" i="11"/>
  <c r="R579" i="11" s="1"/>
  <c r="T579" i="11" s="1"/>
  <c r="V579" i="11" s="1"/>
  <c r="P577" i="11"/>
  <c r="R577" i="11" s="1"/>
  <c r="T577" i="11" s="1"/>
  <c r="V577" i="11" s="1"/>
  <c r="P575" i="11"/>
  <c r="R575" i="11" s="1"/>
  <c r="T575" i="11" s="1"/>
  <c r="V575" i="11" s="1"/>
  <c r="P573" i="11"/>
  <c r="R573" i="11" s="1"/>
  <c r="T573" i="11" s="1"/>
  <c r="V573" i="11" s="1"/>
  <c r="P571" i="11"/>
  <c r="R571" i="11" s="1"/>
  <c r="T571" i="11" s="1"/>
  <c r="V571" i="11" s="1"/>
  <c r="P569" i="11"/>
  <c r="R569" i="11" s="1"/>
  <c r="T569" i="11" s="1"/>
  <c r="V569" i="11" s="1"/>
  <c r="P567" i="11"/>
  <c r="R567" i="11" s="1"/>
  <c r="T567" i="11" s="1"/>
  <c r="V567" i="11" s="1"/>
  <c r="P565" i="11"/>
  <c r="R565" i="11" s="1"/>
  <c r="T565" i="11" s="1"/>
  <c r="V565" i="11" s="1"/>
  <c r="P563" i="11"/>
  <c r="R563" i="11" s="1"/>
  <c r="T563" i="11" s="1"/>
  <c r="V563" i="11" s="1"/>
  <c r="P602" i="11"/>
  <c r="R602" i="11" s="1"/>
  <c r="T602" i="11" s="1"/>
  <c r="V602" i="11" s="1"/>
  <c r="P556" i="11"/>
  <c r="R556" i="11" s="1"/>
  <c r="P552" i="11"/>
  <c r="R552" i="11" s="1"/>
  <c r="P548" i="11"/>
  <c r="R548" i="11" s="1"/>
  <c r="P542" i="11"/>
  <c r="R542" i="11" s="1"/>
  <c r="P584" i="11"/>
  <c r="R584" i="11" s="1"/>
  <c r="T584" i="11" s="1"/>
  <c r="V584" i="11" s="1"/>
  <c r="P580" i="11"/>
  <c r="R580" i="11" s="1"/>
  <c r="T580" i="11" s="1"/>
  <c r="V580" i="11" s="1"/>
  <c r="P576" i="11"/>
  <c r="R576" i="11" s="1"/>
  <c r="T576" i="11" s="1"/>
  <c r="V576" i="11" s="1"/>
  <c r="P572" i="11"/>
  <c r="R572" i="11" s="1"/>
  <c r="T572" i="11" s="1"/>
  <c r="V572" i="11" s="1"/>
  <c r="P568" i="11"/>
  <c r="R568" i="11" s="1"/>
  <c r="T568" i="11" s="1"/>
  <c r="V568" i="11" s="1"/>
  <c r="P564" i="11"/>
  <c r="R564" i="11" s="1"/>
  <c r="T564" i="11" s="1"/>
  <c r="V564" i="11" s="1"/>
  <c r="P557" i="11"/>
  <c r="R557" i="11" s="1"/>
  <c r="P553" i="11"/>
  <c r="R553" i="11" s="1"/>
  <c r="P549" i="11"/>
  <c r="R549" i="11" s="1"/>
  <c r="P543" i="11"/>
  <c r="R543" i="11" s="1"/>
  <c r="P539" i="11"/>
  <c r="R539" i="11" s="1"/>
  <c r="T539" i="11" s="1"/>
  <c r="V539" i="11" s="1"/>
  <c r="P558" i="11"/>
  <c r="R558" i="11" s="1"/>
  <c r="P554" i="11"/>
  <c r="R554" i="11" s="1"/>
  <c r="P550" i="11"/>
  <c r="R550" i="11" s="1"/>
  <c r="P546" i="11"/>
  <c r="R546" i="11" s="1"/>
  <c r="P544" i="11"/>
  <c r="R544" i="11" s="1"/>
  <c r="P540" i="11"/>
  <c r="R540" i="11" s="1"/>
  <c r="P538" i="11"/>
  <c r="R538" i="11" s="1"/>
  <c r="T538" i="11" s="1"/>
  <c r="V538" i="11" s="1"/>
  <c r="P586" i="11"/>
  <c r="R586" i="11" s="1"/>
  <c r="T586" i="11" s="1"/>
  <c r="V586" i="11" s="1"/>
  <c r="P570" i="11"/>
  <c r="R570" i="11" s="1"/>
  <c r="T570" i="11" s="1"/>
  <c r="V570" i="11" s="1"/>
  <c r="P562" i="11"/>
  <c r="R562" i="11" s="1"/>
  <c r="T562" i="11" s="1"/>
  <c r="V562" i="11" s="1"/>
  <c r="P547" i="11"/>
  <c r="R547" i="11" s="1"/>
  <c r="P541" i="11"/>
  <c r="R541" i="11" s="1"/>
  <c r="P582" i="11"/>
  <c r="R582" i="11" s="1"/>
  <c r="T582" i="11" s="1"/>
  <c r="V582" i="11" s="1"/>
  <c r="P566" i="11"/>
  <c r="R566" i="11" s="1"/>
  <c r="T566" i="11" s="1"/>
  <c r="V566" i="11" s="1"/>
  <c r="P561" i="11"/>
  <c r="R561" i="11" s="1"/>
  <c r="T561" i="11" s="1"/>
  <c r="V561" i="11" s="1"/>
  <c r="P551" i="11"/>
  <c r="R551" i="11" s="1"/>
  <c r="P545" i="11"/>
  <c r="R545" i="11" s="1"/>
  <c r="P578" i="11"/>
  <c r="R578" i="11" s="1"/>
  <c r="T578" i="11" s="1"/>
  <c r="V578" i="11" s="1"/>
  <c r="P560" i="11"/>
  <c r="R560" i="11" s="1"/>
  <c r="T560" i="11" s="1"/>
  <c r="V560" i="11" s="1"/>
  <c r="P555" i="11"/>
  <c r="R555" i="11" s="1"/>
  <c r="P559" i="11"/>
  <c r="R559" i="11" s="1"/>
  <c r="K386" i="11"/>
  <c r="B321" i="11"/>
  <c r="K370" i="11"/>
  <c r="P574" i="11"/>
  <c r="R574" i="11" s="1"/>
  <c r="T574" i="11" s="1"/>
  <c r="V574" i="11" s="1"/>
  <c r="K355" i="11"/>
  <c r="K345" i="11"/>
  <c r="K349" i="11"/>
  <c r="K334" i="11"/>
  <c r="K335" i="11"/>
  <c r="K336" i="11"/>
  <c r="K353" i="11"/>
  <c r="K341" i="11"/>
  <c r="K346" i="11"/>
  <c r="K347" i="11"/>
  <c r="K348" i="11"/>
  <c r="K354" i="11"/>
  <c r="K352" i="11"/>
  <c r="K337" i="11"/>
  <c r="K342" i="11"/>
  <c r="K343" i="11"/>
  <c r="K344" i="11"/>
  <c r="K350" i="11"/>
  <c r="K351" i="11"/>
  <c r="K363" i="11"/>
  <c r="K338" i="11"/>
  <c r="K339" i="11"/>
  <c r="K340" i="11"/>
  <c r="D408" i="11"/>
  <c r="A409" i="11"/>
  <c r="J408" i="11"/>
  <c r="C408" i="11"/>
  <c r="B408" i="11"/>
  <c r="S631" i="11"/>
  <c r="W631" i="11" s="1"/>
  <c r="U221" i="10"/>
  <c r="V220" i="10"/>
  <c r="V223" i="10"/>
  <c r="T223" i="10"/>
  <c r="U223" i="10"/>
  <c r="T221" i="10"/>
  <c r="V221" i="10"/>
  <c r="CM139" i="10"/>
  <c r="CN138" i="10"/>
  <c r="CO138" i="10"/>
  <c r="U220" i="10"/>
  <c r="L220" i="10" s="1"/>
  <c r="CM129" i="10"/>
  <c r="CN130" i="10"/>
  <c r="CO130" i="10"/>
  <c r="T220" i="10"/>
  <c r="K220" i="10" s="1"/>
  <c r="D399" i="10"/>
  <c r="D227" i="10"/>
  <c r="D243" i="10"/>
  <c r="D234" i="10"/>
  <c r="D549" i="10"/>
  <c r="D550" i="10"/>
  <c r="D551" i="10"/>
  <c r="D552" i="10"/>
  <c r="D553" i="10"/>
  <c r="D554" i="10"/>
  <c r="D555" i="10"/>
  <c r="D556" i="10"/>
  <c r="D557" i="10"/>
  <c r="D558" i="10"/>
  <c r="D559" i="10"/>
  <c r="D560" i="10"/>
  <c r="D561" i="10"/>
  <c r="D562" i="10"/>
  <c r="D563" i="10"/>
  <c r="D564" i="10"/>
  <c r="D565" i="10"/>
  <c r="D566" i="10"/>
  <c r="D567" i="10"/>
  <c r="D568" i="10"/>
  <c r="D569" i="10"/>
  <c r="D570" i="10"/>
  <c r="E570" i="10" s="1"/>
  <c r="D571" i="10"/>
  <c r="E571" i="10" s="1"/>
  <c r="D572" i="10"/>
  <c r="E572" i="10" s="1"/>
  <c r="D573" i="10"/>
  <c r="E573" i="10" s="1"/>
  <c r="D574" i="10"/>
  <c r="E574" i="10" s="1"/>
  <c r="D575" i="10"/>
  <c r="E575" i="10" s="1"/>
  <c r="D576" i="10"/>
  <c r="E576" i="10" s="1"/>
  <c r="D577" i="10"/>
  <c r="E577" i="10" s="1"/>
  <c r="D578" i="10"/>
  <c r="E578" i="10" s="1"/>
  <c r="D579" i="10"/>
  <c r="E579" i="10" s="1"/>
  <c r="D580" i="10"/>
  <c r="E580" i="10" s="1"/>
  <c r="D581" i="10"/>
  <c r="E581" i="10" s="1"/>
  <c r="D582" i="10"/>
  <c r="E582" i="10" s="1"/>
  <c r="D583" i="10"/>
  <c r="E583" i="10" s="1"/>
  <c r="D584" i="10"/>
  <c r="E584" i="10" s="1"/>
  <c r="D585" i="10"/>
  <c r="E585" i="10" s="1"/>
  <c r="D586" i="10"/>
  <c r="E586" i="10" s="1"/>
  <c r="D587" i="10"/>
  <c r="E587" i="10" s="1"/>
  <c r="D588" i="10"/>
  <c r="E588" i="10" s="1"/>
  <c r="D589" i="10"/>
  <c r="E589" i="10" s="1"/>
  <c r="D590" i="10"/>
  <c r="E590" i="10" s="1"/>
  <c r="D591" i="10"/>
  <c r="E591" i="10" s="1"/>
  <c r="D592" i="10"/>
  <c r="E592" i="10" s="1"/>
  <c r="D593" i="10"/>
  <c r="E593" i="10" s="1"/>
  <c r="D594" i="10"/>
  <c r="E594" i="10" s="1"/>
  <c r="D595" i="10"/>
  <c r="E595" i="10" s="1"/>
  <c r="D596" i="10"/>
  <c r="E596" i="10" s="1"/>
  <c r="D597" i="10"/>
  <c r="E597" i="10" s="1"/>
  <c r="D598" i="10"/>
  <c r="E598" i="10" s="1"/>
  <c r="D599" i="10"/>
  <c r="E599" i="10" s="1"/>
  <c r="D600" i="10"/>
  <c r="E600" i="10" s="1"/>
  <c r="D601" i="10"/>
  <c r="E601" i="10" s="1"/>
  <c r="D602" i="10"/>
  <c r="E602" i="10" s="1"/>
  <c r="D603" i="10"/>
  <c r="E603" i="10" s="1"/>
  <c r="D604" i="10"/>
  <c r="E604" i="10" s="1"/>
  <c r="D605" i="10"/>
  <c r="E605" i="10" s="1"/>
  <c r="D606" i="10"/>
  <c r="E606" i="10" s="1"/>
  <c r="D607" i="10"/>
  <c r="E607" i="10" s="1"/>
  <c r="D608" i="10"/>
  <c r="E608" i="10" s="1"/>
  <c r="D609" i="10"/>
  <c r="E609" i="10" s="1"/>
  <c r="D610" i="10"/>
  <c r="E610" i="10" s="1"/>
  <c r="D611" i="10"/>
  <c r="E611" i="10" s="1"/>
  <c r="D612" i="10"/>
  <c r="E612" i="10" s="1"/>
  <c r="D613" i="10"/>
  <c r="E613" i="10" s="1"/>
  <c r="D614" i="10"/>
  <c r="E614" i="10" s="1"/>
  <c r="D615" i="10"/>
  <c r="E615" i="10" s="1"/>
  <c r="D616" i="10"/>
  <c r="E616" i="10" s="1"/>
  <c r="D617" i="10"/>
  <c r="E617" i="10" s="1"/>
  <c r="D618" i="10"/>
  <c r="E618" i="10" s="1"/>
  <c r="D619" i="10"/>
  <c r="E619" i="10" s="1"/>
  <c r="D620" i="10"/>
  <c r="E620" i="10" s="1"/>
  <c r="D621" i="10"/>
  <c r="E621" i="10" s="1"/>
  <c r="D622" i="10"/>
  <c r="E622" i="10" s="1"/>
  <c r="D623" i="10"/>
  <c r="E623" i="10" s="1"/>
  <c r="D624" i="10"/>
  <c r="E624" i="10" s="1"/>
  <c r="D625" i="10"/>
  <c r="E625" i="10" s="1"/>
  <c r="D626" i="10"/>
  <c r="E626" i="10" s="1"/>
  <c r="D627" i="10"/>
  <c r="E627" i="10" s="1"/>
  <c r="D628" i="10"/>
  <c r="E628" i="10" s="1"/>
  <c r="D629" i="10"/>
  <c r="E629" i="10" s="1"/>
  <c r="D630" i="10"/>
  <c r="E630" i="10" s="1"/>
  <c r="D631" i="10"/>
  <c r="E631" i="10" s="1"/>
  <c r="D632" i="10"/>
  <c r="E632" i="10" s="1"/>
  <c r="D633" i="10"/>
  <c r="E633" i="10" s="1"/>
  <c r="D634" i="10"/>
  <c r="E634" i="10" s="1"/>
  <c r="D635" i="10"/>
  <c r="E635" i="10" s="1"/>
  <c r="D636" i="10"/>
  <c r="E636" i="10" s="1"/>
  <c r="D637" i="10"/>
  <c r="E637" i="10" s="1"/>
  <c r="D638" i="10"/>
  <c r="E638" i="10" s="1"/>
  <c r="D639" i="10"/>
  <c r="E639" i="10" s="1"/>
  <c r="D640" i="10"/>
  <c r="E640" i="10" s="1"/>
  <c r="D641" i="10"/>
  <c r="E641" i="10" s="1"/>
  <c r="D642" i="10"/>
  <c r="E642" i="10" s="1"/>
  <c r="D548" i="10"/>
  <c r="M548" i="10"/>
  <c r="D406" i="10" s="1"/>
  <c r="L548" i="10"/>
  <c r="H548" i="10"/>
  <c r="M556" i="10"/>
  <c r="L556" i="10"/>
  <c r="CI134" i="10"/>
  <c r="CG121" i="10"/>
  <c r="CI121" i="10" s="1"/>
  <c r="CG133" i="10"/>
  <c r="CI133" i="10" s="1"/>
  <c r="CG147" i="10"/>
  <c r="CH147" i="10" s="1"/>
  <c r="CH134" i="10"/>
  <c r="CG135" i="10"/>
  <c r="CH135" i="10" s="1"/>
  <c r="N349" i="16" l="1"/>
  <c r="O349" i="16" s="1"/>
  <c r="B335" i="16"/>
  <c r="K334" i="16"/>
  <c r="L334" i="16" s="1"/>
  <c r="M220" i="10"/>
  <c r="B299" i="10" s="1"/>
  <c r="B312" i="10" s="1"/>
  <c r="G242" i="11"/>
  <c r="B295" i="11" s="1"/>
  <c r="D376" i="11" s="1"/>
  <c r="S546" i="11"/>
  <c r="W546" i="11" s="1"/>
  <c r="D659" i="11"/>
  <c r="S554" i="11"/>
  <c r="W554" i="11" s="1"/>
  <c r="S541" i="11"/>
  <c r="W541" i="11" s="1"/>
  <c r="U558" i="11"/>
  <c r="X558" i="11" s="1"/>
  <c r="S558" i="11"/>
  <c r="W558" i="11" s="1"/>
  <c r="U546" i="11"/>
  <c r="X546" i="11" s="1"/>
  <c r="D668" i="11"/>
  <c r="S550" i="11"/>
  <c r="W550" i="11" s="1"/>
  <c r="S556" i="11"/>
  <c r="W556" i="11" s="1"/>
  <c r="D663" i="11"/>
  <c r="U556" i="11"/>
  <c r="X556" i="11" s="1"/>
  <c r="S542" i="11"/>
  <c r="W542" i="11" s="1"/>
  <c r="S545" i="11"/>
  <c r="W545" i="11" s="1"/>
  <c r="S549" i="11"/>
  <c r="W549" i="11" s="1"/>
  <c r="D664" i="11"/>
  <c r="U545" i="11"/>
  <c r="X545" i="11" s="1"/>
  <c r="S540" i="11"/>
  <c r="W540" i="11" s="1"/>
  <c r="U553" i="11"/>
  <c r="X553" i="11" s="1"/>
  <c r="S547" i="11"/>
  <c r="W547" i="11" s="1"/>
  <c r="U543" i="11"/>
  <c r="X543" i="11" s="1"/>
  <c r="S543" i="11"/>
  <c r="W543" i="11" s="1"/>
  <c r="S559" i="11"/>
  <c r="W559" i="11" s="1"/>
  <c r="U588" i="11"/>
  <c r="X588" i="11" s="1"/>
  <c r="U542" i="11"/>
  <c r="X542" i="11" s="1"/>
  <c r="S551" i="11"/>
  <c r="W551" i="11" s="1"/>
  <c r="S544" i="11"/>
  <c r="W544" i="11" s="1"/>
  <c r="U616" i="11"/>
  <c r="X616" i="11" s="1"/>
  <c r="U599" i="11"/>
  <c r="X599" i="11" s="1"/>
  <c r="S555" i="11"/>
  <c r="W555" i="11" s="1"/>
  <c r="S616" i="11"/>
  <c r="W616" i="11" s="1"/>
  <c r="U596" i="11"/>
  <c r="X596" i="11" s="1"/>
  <c r="U621" i="11"/>
  <c r="X621" i="11" s="1"/>
  <c r="U564" i="11"/>
  <c r="X564" i="11" s="1"/>
  <c r="U573" i="11"/>
  <c r="X573" i="11" s="1"/>
  <c r="U609" i="11"/>
  <c r="X609" i="11" s="1"/>
  <c r="U620" i="11"/>
  <c r="X620" i="11" s="1"/>
  <c r="U600" i="11"/>
  <c r="X600" i="11" s="1"/>
  <c r="U612" i="11"/>
  <c r="X612" i="11" s="1"/>
  <c r="U631" i="11"/>
  <c r="X631" i="11" s="1"/>
  <c r="U610" i="11"/>
  <c r="X610" i="11" s="1"/>
  <c r="U594" i="11"/>
  <c r="X594" i="11" s="1"/>
  <c r="U605" i="11"/>
  <c r="X605" i="11" s="1"/>
  <c r="U579" i="11"/>
  <c r="X579" i="11" s="1"/>
  <c r="U604" i="11"/>
  <c r="X604" i="11" s="1"/>
  <c r="U632" i="11"/>
  <c r="X632" i="11" s="1"/>
  <c r="U615" i="11"/>
  <c r="X615" i="11" s="1"/>
  <c r="U623" i="11"/>
  <c r="X623" i="11" s="1"/>
  <c r="U625" i="11"/>
  <c r="X625" i="11" s="1"/>
  <c r="U571" i="11"/>
  <c r="X571" i="11" s="1"/>
  <c r="K364" i="11"/>
  <c r="K362" i="11"/>
  <c r="U580" i="11"/>
  <c r="X580" i="11" s="1"/>
  <c r="U581" i="11"/>
  <c r="X581" i="11" s="1"/>
  <c r="U565" i="11"/>
  <c r="X565" i="11" s="1"/>
  <c r="K371" i="11"/>
  <c r="C666" i="11"/>
  <c r="T555" i="11"/>
  <c r="V555" i="11" s="1"/>
  <c r="C662" i="11"/>
  <c r="T551" i="11"/>
  <c r="V551" i="11" s="1"/>
  <c r="C652" i="11"/>
  <c r="T541" i="11"/>
  <c r="V541" i="11" s="1"/>
  <c r="C657" i="11"/>
  <c r="T546" i="11"/>
  <c r="V546" i="11" s="1"/>
  <c r="C668" i="11"/>
  <c r="T557" i="11"/>
  <c r="V557" i="11" s="1"/>
  <c r="C659" i="11"/>
  <c r="T548" i="11"/>
  <c r="V548" i="11" s="1"/>
  <c r="U630" i="11"/>
  <c r="X630" i="11" s="1"/>
  <c r="U619" i="11"/>
  <c r="X619" i="11" s="1"/>
  <c r="U578" i="11"/>
  <c r="X578" i="11" s="1"/>
  <c r="U541" i="11"/>
  <c r="X541" i="11" s="1"/>
  <c r="CI115" i="11"/>
  <c r="CL115" i="11" s="1"/>
  <c r="CH115" i="11"/>
  <c r="CK115" i="11" s="1"/>
  <c r="CG114" i="11"/>
  <c r="CJ115" i="11"/>
  <c r="U590" i="11"/>
  <c r="X590" i="11" s="1"/>
  <c r="U568" i="11"/>
  <c r="X568" i="11" s="1"/>
  <c r="U618" i="11"/>
  <c r="X618" i="11" s="1"/>
  <c r="U606" i="11"/>
  <c r="X606" i="11" s="1"/>
  <c r="U593" i="11"/>
  <c r="X593" i="11" s="1"/>
  <c r="U624" i="11"/>
  <c r="X624" i="11" s="1"/>
  <c r="U567" i="11"/>
  <c r="X567" i="11" s="1"/>
  <c r="U557" i="11"/>
  <c r="X557" i="11" s="1"/>
  <c r="U538" i="11"/>
  <c r="X538" i="11" s="1"/>
  <c r="C658" i="11"/>
  <c r="T547" i="11"/>
  <c r="V547" i="11" s="1"/>
  <c r="C661" i="11"/>
  <c r="T550" i="11"/>
  <c r="V550" i="11" s="1"/>
  <c r="C654" i="11"/>
  <c r="T543" i="11"/>
  <c r="V543" i="11" s="1"/>
  <c r="C663" i="11"/>
  <c r="T552" i="11"/>
  <c r="V552" i="11" s="1"/>
  <c r="U627" i="11"/>
  <c r="X627" i="11" s="1"/>
  <c r="U608" i="11"/>
  <c r="X608" i="11" s="1"/>
  <c r="U592" i="11"/>
  <c r="X592" i="11" s="1"/>
  <c r="U570" i="11"/>
  <c r="X570" i="11" s="1"/>
  <c r="U597" i="11"/>
  <c r="X597" i="11" s="1"/>
  <c r="U555" i="11"/>
  <c r="X555" i="11" s="1"/>
  <c r="U550" i="11"/>
  <c r="X550" i="11" s="1"/>
  <c r="CH132" i="11"/>
  <c r="CK132" i="11" s="1"/>
  <c r="CG133" i="11"/>
  <c r="CJ132" i="11"/>
  <c r="CI132" i="11"/>
  <c r="CL132" i="11" s="1"/>
  <c r="U577" i="11"/>
  <c r="X577" i="11" s="1"/>
  <c r="U629" i="11"/>
  <c r="X629" i="11" s="1"/>
  <c r="U582" i="11"/>
  <c r="X582" i="11" s="1"/>
  <c r="U566" i="11"/>
  <c r="X566" i="11" s="1"/>
  <c r="U583" i="11"/>
  <c r="X583" i="11" s="1"/>
  <c r="U547" i="11"/>
  <c r="X547" i="11" s="1"/>
  <c r="U572" i="11"/>
  <c r="X572" i="11" s="1"/>
  <c r="U552" i="11"/>
  <c r="X552" i="11" s="1"/>
  <c r="A410" i="11"/>
  <c r="D409" i="11"/>
  <c r="C409" i="11"/>
  <c r="J409" i="11"/>
  <c r="B409" i="11"/>
  <c r="K385" i="11"/>
  <c r="C651" i="11"/>
  <c r="T540" i="11"/>
  <c r="V540" i="11" s="1"/>
  <c r="C665" i="11"/>
  <c r="T554" i="11"/>
  <c r="V554" i="11" s="1"/>
  <c r="C660" i="11"/>
  <c r="T549" i="11"/>
  <c r="V549" i="11" s="1"/>
  <c r="C667" i="11"/>
  <c r="T556" i="11"/>
  <c r="V556" i="11" s="1"/>
  <c r="U617" i="11"/>
  <c r="X617" i="11" s="1"/>
  <c r="U586" i="11"/>
  <c r="X586" i="11" s="1"/>
  <c r="U540" i="11"/>
  <c r="X540" i="11" s="1"/>
  <c r="CM113" i="11"/>
  <c r="CP114" i="11"/>
  <c r="CO114" i="11"/>
  <c r="CR114" i="11" s="1"/>
  <c r="CN114" i="11"/>
  <c r="CQ114" i="11" s="1"/>
  <c r="A340" i="11"/>
  <c r="J339" i="11"/>
  <c r="F339" i="11"/>
  <c r="E339" i="11"/>
  <c r="U628" i="11"/>
  <c r="X628" i="11" s="1"/>
  <c r="U607" i="11"/>
  <c r="X607" i="11" s="1"/>
  <c r="U595" i="11"/>
  <c r="X595" i="11" s="1"/>
  <c r="U576" i="11"/>
  <c r="X576" i="11" s="1"/>
  <c r="U560" i="11"/>
  <c r="X560" i="11" s="1"/>
  <c r="U561" i="11"/>
  <c r="X561" i="11" s="1"/>
  <c r="U587" i="11"/>
  <c r="X587" i="11" s="1"/>
  <c r="U554" i="11"/>
  <c r="X554" i="11" s="1"/>
  <c r="U613" i="11"/>
  <c r="X613" i="11" s="1"/>
  <c r="U603" i="11"/>
  <c r="X603" i="11" s="1"/>
  <c r="U574" i="11"/>
  <c r="X574" i="11" s="1"/>
  <c r="C670" i="11"/>
  <c r="T559" i="11"/>
  <c r="V559" i="11" s="1"/>
  <c r="C656" i="11"/>
  <c r="T545" i="11"/>
  <c r="V545" i="11" s="1"/>
  <c r="C655" i="11"/>
  <c r="T544" i="11"/>
  <c r="V544" i="11" s="1"/>
  <c r="C669" i="11"/>
  <c r="T558" i="11"/>
  <c r="V558" i="11" s="1"/>
  <c r="C664" i="11"/>
  <c r="T553" i="11"/>
  <c r="V553" i="11" s="1"/>
  <c r="C653" i="11"/>
  <c r="T542" i="11"/>
  <c r="V542" i="11" s="1"/>
  <c r="U611" i="11"/>
  <c r="X611" i="11" s="1"/>
  <c r="U614" i="11"/>
  <c r="X614" i="11" s="1"/>
  <c r="U598" i="11"/>
  <c r="X598" i="11" s="1"/>
  <c r="U562" i="11"/>
  <c r="X562" i="11" s="1"/>
  <c r="U563" i="11"/>
  <c r="X563" i="11" s="1"/>
  <c r="U548" i="11"/>
  <c r="X548" i="11" s="1"/>
  <c r="U549" i="11"/>
  <c r="X549" i="11" s="1"/>
  <c r="CP132" i="11"/>
  <c r="CO132" i="11"/>
  <c r="CR132" i="11" s="1"/>
  <c r="CN132" i="11"/>
  <c r="CQ132" i="11" s="1"/>
  <c r="CM133" i="11"/>
  <c r="U622" i="11"/>
  <c r="X622" i="11" s="1"/>
  <c r="U602" i="11"/>
  <c r="X602" i="11" s="1"/>
  <c r="U584" i="11"/>
  <c r="X584" i="11" s="1"/>
  <c r="U585" i="11"/>
  <c r="X585" i="11" s="1"/>
  <c r="U569" i="11"/>
  <c r="X569" i="11" s="1"/>
  <c r="U551" i="11"/>
  <c r="X551" i="11" s="1"/>
  <c r="U544" i="11"/>
  <c r="X544" i="11" s="1"/>
  <c r="U626" i="11"/>
  <c r="X626" i="11" s="1"/>
  <c r="U601" i="11"/>
  <c r="X601" i="11" s="1"/>
  <c r="U591" i="11"/>
  <c r="X591" i="11" s="1"/>
  <c r="U589" i="11"/>
  <c r="X589" i="11" s="1"/>
  <c r="U575" i="11"/>
  <c r="X575" i="11" s="1"/>
  <c r="U559" i="11"/>
  <c r="X559" i="11" s="1"/>
  <c r="U539" i="11"/>
  <c r="X539" i="11" s="1"/>
  <c r="H418" i="10"/>
  <c r="H422" i="10"/>
  <c r="H426" i="10"/>
  <c r="H430" i="10"/>
  <c r="H434" i="10"/>
  <c r="H438" i="10"/>
  <c r="H442" i="10"/>
  <c r="H446" i="10"/>
  <c r="H450" i="10"/>
  <c r="H415" i="10"/>
  <c r="H419" i="10"/>
  <c r="H423" i="10"/>
  <c r="H427" i="10"/>
  <c r="H431" i="10"/>
  <c r="H435" i="10"/>
  <c r="H439" i="10"/>
  <c r="H443" i="10"/>
  <c r="H447" i="10"/>
  <c r="H414" i="10"/>
  <c r="H416" i="10"/>
  <c r="H420" i="10"/>
  <c r="H424" i="10"/>
  <c r="H428" i="10"/>
  <c r="H432" i="10"/>
  <c r="H436" i="10"/>
  <c r="H440" i="10"/>
  <c r="H444" i="10"/>
  <c r="H448" i="10"/>
  <c r="B404" i="10"/>
  <c r="H417" i="10"/>
  <c r="H421" i="10"/>
  <c r="H425" i="10"/>
  <c r="H429" i="10"/>
  <c r="H433" i="10"/>
  <c r="H437" i="10"/>
  <c r="H441" i="10"/>
  <c r="H445" i="10"/>
  <c r="H449" i="10"/>
  <c r="B292" i="10"/>
  <c r="B319" i="10" s="1"/>
  <c r="CO139" i="10"/>
  <c r="CM140" i="10"/>
  <c r="CN139" i="10"/>
  <c r="CM128" i="10"/>
  <c r="CO129" i="10"/>
  <c r="CN129" i="10"/>
  <c r="C383" i="10"/>
  <c r="C387" i="10"/>
  <c r="C391" i="10"/>
  <c r="C395" i="10"/>
  <c r="C381" i="10"/>
  <c r="C393" i="10"/>
  <c r="C386" i="10"/>
  <c r="C394" i="10"/>
  <c r="C380" i="10"/>
  <c r="C384" i="10"/>
  <c r="C388" i="10"/>
  <c r="C392" i="10"/>
  <c r="C396" i="10"/>
  <c r="C385" i="10"/>
  <c r="C389" i="10"/>
  <c r="C382" i="10"/>
  <c r="C390" i="10"/>
  <c r="C369" i="10"/>
  <c r="C373" i="10"/>
  <c r="C377" i="10"/>
  <c r="C347" i="10"/>
  <c r="C351" i="10"/>
  <c r="C355" i="10"/>
  <c r="C359" i="10"/>
  <c r="C363" i="10"/>
  <c r="C367" i="10"/>
  <c r="C375" i="10"/>
  <c r="C349" i="10"/>
  <c r="C357" i="10"/>
  <c r="C365" i="10"/>
  <c r="C372" i="10"/>
  <c r="C366" i="10"/>
  <c r="C354" i="10"/>
  <c r="C362" i="10"/>
  <c r="C370" i="10"/>
  <c r="C374" i="10"/>
  <c r="C378" i="10"/>
  <c r="C348" i="10"/>
  <c r="C352" i="10"/>
  <c r="C356" i="10"/>
  <c r="C360" i="10"/>
  <c r="C364" i="10"/>
  <c r="C371" i="10"/>
  <c r="C379" i="10"/>
  <c r="C345" i="10"/>
  <c r="C353" i="10"/>
  <c r="C361" i="10"/>
  <c r="C368" i="10"/>
  <c r="C376" i="10"/>
  <c r="C346" i="10"/>
  <c r="C350" i="10"/>
  <c r="C358" i="10"/>
  <c r="C344" i="10"/>
  <c r="B382" i="10"/>
  <c r="B384" i="10"/>
  <c r="B379" i="10"/>
  <c r="B395" i="10"/>
  <c r="B385" i="10"/>
  <c r="B368" i="10"/>
  <c r="B367" i="10"/>
  <c r="B378" i="10"/>
  <c r="B363" i="10"/>
  <c r="B347" i="10"/>
  <c r="B362" i="10"/>
  <c r="B346" i="10"/>
  <c r="B365" i="10"/>
  <c r="B349" i="10"/>
  <c r="CI147" i="10"/>
  <c r="CG136" i="10"/>
  <c r="CG137" i="10" s="1"/>
  <c r="CG138" i="10" s="1"/>
  <c r="CG139" i="10" s="1"/>
  <c r="M601" i="10" s="1"/>
  <c r="CH121" i="10"/>
  <c r="CG132" i="10"/>
  <c r="CI135" i="10"/>
  <c r="CH133" i="10"/>
  <c r="Q204" i="10"/>
  <c r="P204" i="10"/>
  <c r="O204" i="10"/>
  <c r="N204" i="10"/>
  <c r="M204" i="10"/>
  <c r="L204" i="10"/>
  <c r="K204" i="10"/>
  <c r="J204" i="10"/>
  <c r="I204" i="10"/>
  <c r="H204" i="10"/>
  <c r="G204" i="10"/>
  <c r="F204" i="10"/>
  <c r="E204" i="10"/>
  <c r="D204" i="10"/>
  <c r="C204" i="10"/>
  <c r="B204" i="10"/>
  <c r="Q203" i="10"/>
  <c r="P203" i="10"/>
  <c r="O203" i="10"/>
  <c r="N203" i="10"/>
  <c r="M203" i="10"/>
  <c r="L203" i="10"/>
  <c r="K203" i="10"/>
  <c r="J203" i="10"/>
  <c r="I203" i="10"/>
  <c r="H203" i="10"/>
  <c r="G203" i="10"/>
  <c r="F203" i="10"/>
  <c r="E203" i="10"/>
  <c r="D203" i="10"/>
  <c r="C203" i="10"/>
  <c r="B203" i="10"/>
  <c r="Q202" i="10"/>
  <c r="P202" i="10"/>
  <c r="O202" i="10"/>
  <c r="N202" i="10"/>
  <c r="M202" i="10"/>
  <c r="L202" i="10"/>
  <c r="K202" i="10"/>
  <c r="J202" i="10"/>
  <c r="I202" i="10"/>
  <c r="H202" i="10"/>
  <c r="G202" i="10"/>
  <c r="F202" i="10"/>
  <c r="E202" i="10"/>
  <c r="D202" i="10"/>
  <c r="C202" i="10"/>
  <c r="B202" i="10"/>
  <c r="T4" i="10"/>
  <c r="C111" i="10" s="1"/>
  <c r="D116" i="10" s="1"/>
  <c r="AI3" i="8" s="1"/>
  <c r="AI38" i="8" s="1"/>
  <c r="BT116" i="10"/>
  <c r="BT117" i="10"/>
  <c r="BT118" i="10"/>
  <c r="BT119" i="10" s="1"/>
  <c r="AG116" i="10"/>
  <c r="BT121" i="10"/>
  <c r="AG117" i="10"/>
  <c r="AG118" i="10"/>
  <c r="BT122" i="10"/>
  <c r="BW122" i="10"/>
  <c r="AG119" i="10"/>
  <c r="AG120" i="10"/>
  <c r="AG121" i="10"/>
  <c r="AG122" i="10"/>
  <c r="AG123" i="10"/>
  <c r="AG124" i="10"/>
  <c r="AG125" i="10"/>
  <c r="BS129" i="10"/>
  <c r="AG126" i="10"/>
  <c r="AG127" i="10"/>
  <c r="AG128" i="10"/>
  <c r="AG129" i="10"/>
  <c r="BR133" i="10"/>
  <c r="AG130" i="10"/>
  <c r="AG131" i="10"/>
  <c r="AG132" i="10"/>
  <c r="AG133" i="10"/>
  <c r="AG134" i="10"/>
  <c r="AG135" i="10"/>
  <c r="AG136" i="10"/>
  <c r="AG137" i="10"/>
  <c r="AG138" i="10"/>
  <c r="CE116" i="10"/>
  <c r="AG139" i="10"/>
  <c r="CE117" i="10"/>
  <c r="AG140" i="10"/>
  <c r="CE118" i="10"/>
  <c r="AG141" i="10"/>
  <c r="CE119" i="10"/>
  <c r="AG142" i="10"/>
  <c r="CE120" i="10"/>
  <c r="AG143" i="10"/>
  <c r="CE121" i="10"/>
  <c r="AG144" i="10"/>
  <c r="CE122" i="10"/>
  <c r="AG145" i="10"/>
  <c r="CE123" i="10"/>
  <c r="AG146" i="10"/>
  <c r="CE124" i="10"/>
  <c r="AG147" i="10"/>
  <c r="CE125" i="10"/>
  <c r="AG148" i="10"/>
  <c r="CE126" i="10"/>
  <c r="CE127" i="10"/>
  <c r="CE128" i="10"/>
  <c r="CE129" i="10"/>
  <c r="CE130" i="10"/>
  <c r="CE131" i="10"/>
  <c r="CE132" i="10"/>
  <c r="CE133" i="10"/>
  <c r="CE134" i="10"/>
  <c r="CE135" i="10"/>
  <c r="CE136" i="10"/>
  <c r="CE137" i="10"/>
  <c r="CE138" i="10"/>
  <c r="CE139" i="10"/>
  <c r="CE140" i="10"/>
  <c r="CE141" i="10"/>
  <c r="CE142" i="10"/>
  <c r="CE143" i="10"/>
  <c r="CE144" i="10"/>
  <c r="CE145" i="10"/>
  <c r="CE146" i="10"/>
  <c r="CE147" i="10"/>
  <c r="CE148" i="10"/>
  <c r="J343" i="10"/>
  <c r="J365" i="10"/>
  <c r="A404" i="10"/>
  <c r="E550" i="10"/>
  <c r="I550" i="10" s="1"/>
  <c r="J550" i="10" s="1"/>
  <c r="E551" i="10"/>
  <c r="I551" i="10" s="1"/>
  <c r="E552" i="10"/>
  <c r="I552" i="10" s="1"/>
  <c r="J552" i="10" s="1"/>
  <c r="E553" i="10"/>
  <c r="I553" i="10" s="1"/>
  <c r="E554" i="10"/>
  <c r="I554" i="10" s="1"/>
  <c r="E555" i="10"/>
  <c r="I555" i="10" s="1"/>
  <c r="E556" i="10"/>
  <c r="E667" i="10" s="1"/>
  <c r="E557" i="10"/>
  <c r="E668" i="10" s="1"/>
  <c r="E558" i="10"/>
  <c r="E669" i="10" s="1"/>
  <c r="E559" i="10"/>
  <c r="E670" i="10" s="1"/>
  <c r="E560" i="10"/>
  <c r="E671" i="10" s="1"/>
  <c r="E561" i="10"/>
  <c r="E672" i="10" s="1"/>
  <c r="E562" i="10"/>
  <c r="E673" i="10" s="1"/>
  <c r="E563" i="10"/>
  <c r="E674" i="10" s="1"/>
  <c r="E564" i="10"/>
  <c r="E675" i="10" s="1"/>
  <c r="E565" i="10"/>
  <c r="E676" i="10" s="1"/>
  <c r="E566" i="10"/>
  <c r="E677" i="10" s="1"/>
  <c r="E567" i="10"/>
  <c r="E678" i="10" s="1"/>
  <c r="E568" i="10"/>
  <c r="E679" i="10" s="1"/>
  <c r="E569" i="10"/>
  <c r="E680" i="10" s="1"/>
  <c r="I602" i="10"/>
  <c r="J602" i="10" s="1"/>
  <c r="I635" i="10"/>
  <c r="J635" i="10" s="1"/>
  <c r="I636" i="10"/>
  <c r="I638" i="10"/>
  <c r="K638" i="10" s="1"/>
  <c r="I642" i="10"/>
  <c r="N350" i="16" l="1"/>
  <c r="O350" i="16" s="1"/>
  <c r="B336" i="16"/>
  <c r="K335" i="16"/>
  <c r="L335" i="16" s="1"/>
  <c r="F365" i="10"/>
  <c r="C450" i="10"/>
  <c r="D336" i="11"/>
  <c r="D379" i="11"/>
  <c r="D340" i="11"/>
  <c r="D335" i="11"/>
  <c r="D359" i="11"/>
  <c r="D356" i="11"/>
  <c r="D382" i="11"/>
  <c r="D381" i="11"/>
  <c r="D374" i="11"/>
  <c r="D362" i="11"/>
  <c r="D363" i="11"/>
  <c r="D339" i="11"/>
  <c r="D366" i="11"/>
  <c r="D334" i="11"/>
  <c r="D369" i="11"/>
  <c r="D355" i="11"/>
  <c r="D360" i="11"/>
  <c r="D378" i="11"/>
  <c r="D367" i="11"/>
  <c r="D383" i="11"/>
  <c r="D386" i="11"/>
  <c r="D357" i="11"/>
  <c r="D371" i="11"/>
  <c r="D338" i="11"/>
  <c r="D337" i="11"/>
  <c r="D365" i="11"/>
  <c r="D364" i="11"/>
  <c r="D380" i="11"/>
  <c r="D373" i="11"/>
  <c r="D372" i="11"/>
  <c r="D358" i="11"/>
  <c r="D375" i="11"/>
  <c r="D361" i="11"/>
  <c r="D370" i="11"/>
  <c r="D385" i="11"/>
  <c r="D368" i="11"/>
  <c r="D384" i="11"/>
  <c r="D377" i="11"/>
  <c r="W635" i="11"/>
  <c r="F669" i="11" s="1"/>
  <c r="V635" i="11"/>
  <c r="G668" i="11" s="1"/>
  <c r="K372" i="11"/>
  <c r="K361" i="11"/>
  <c r="CH133" i="11"/>
  <c r="CK133" i="11" s="1"/>
  <c r="CG134" i="11"/>
  <c r="CJ133" i="11"/>
  <c r="CI133" i="11"/>
  <c r="CL133" i="11" s="1"/>
  <c r="CI114" i="11"/>
  <c r="CL114" i="11" s="1"/>
  <c r="CH114" i="11"/>
  <c r="CK114" i="11" s="1"/>
  <c r="CG113" i="11"/>
  <c r="CJ114" i="11"/>
  <c r="K365" i="11"/>
  <c r="CP133" i="11"/>
  <c r="CO133" i="11"/>
  <c r="CR133" i="11" s="1"/>
  <c r="CN133" i="11"/>
  <c r="CQ133" i="11" s="1"/>
  <c r="CM134" i="11"/>
  <c r="A341" i="11"/>
  <c r="J340" i="11"/>
  <c r="F340" i="11"/>
  <c r="E340" i="11"/>
  <c r="CP113" i="11"/>
  <c r="CO113" i="11"/>
  <c r="CR113" i="11" s="1"/>
  <c r="CM112" i="11"/>
  <c r="CN113" i="11"/>
  <c r="CQ113" i="11" s="1"/>
  <c r="K384" i="11"/>
  <c r="A411" i="11"/>
  <c r="D410" i="11"/>
  <c r="J410" i="11"/>
  <c r="C410" i="11"/>
  <c r="B410" i="11"/>
  <c r="X635" i="11"/>
  <c r="B450" i="10"/>
  <c r="CI137" i="10"/>
  <c r="CI136" i="10"/>
  <c r="CM127" i="10"/>
  <c r="CO128" i="10"/>
  <c r="CN128" i="10"/>
  <c r="CM141" i="10"/>
  <c r="CO140" i="10"/>
  <c r="CN140" i="10"/>
  <c r="CH137" i="10"/>
  <c r="CH136" i="10"/>
  <c r="C549" i="10"/>
  <c r="E549" i="10" s="1"/>
  <c r="E660" i="10" s="1"/>
  <c r="C548" i="10"/>
  <c r="CI139" i="10"/>
  <c r="B357" i="10"/>
  <c r="B356" i="10"/>
  <c r="B354" i="10"/>
  <c r="B348" i="10"/>
  <c r="B355" i="10"/>
  <c r="B371" i="10"/>
  <c r="B377" i="10"/>
  <c r="B374" i="10"/>
  <c r="B372" i="10"/>
  <c r="B388" i="10"/>
  <c r="B387" i="10"/>
  <c r="B381" i="10"/>
  <c r="B390" i="10"/>
  <c r="B361" i="10"/>
  <c r="B364" i="10"/>
  <c r="B358" i="10"/>
  <c r="B360" i="10"/>
  <c r="B359" i="10"/>
  <c r="B375" i="10"/>
  <c r="B373" i="10"/>
  <c r="B366" i="10"/>
  <c r="B393" i="10"/>
  <c r="B380" i="10"/>
  <c r="B383" i="10"/>
  <c r="B392" i="10"/>
  <c r="B386" i="10"/>
  <c r="B353" i="10"/>
  <c r="B352" i="10"/>
  <c r="B350" i="10"/>
  <c r="B344" i="10"/>
  <c r="B351" i="10"/>
  <c r="B369" i="10"/>
  <c r="B370" i="10"/>
  <c r="B376" i="10"/>
  <c r="B396" i="10"/>
  <c r="B391" i="10"/>
  <c r="B389" i="10"/>
  <c r="B394" i="10"/>
  <c r="B345" i="10"/>
  <c r="E365" i="10"/>
  <c r="CH138" i="10"/>
  <c r="D119" i="10"/>
  <c r="B333" i="10"/>
  <c r="CH139" i="10"/>
  <c r="C110" i="10"/>
  <c r="A344" i="10" s="1"/>
  <c r="A345" i="10" s="1"/>
  <c r="A346" i="10" s="1"/>
  <c r="A347" i="10" s="1"/>
  <c r="A348" i="10" s="1"/>
  <c r="A349" i="10" s="1"/>
  <c r="A350" i="10" s="1"/>
  <c r="A351" i="10" s="1"/>
  <c r="A352" i="10" s="1"/>
  <c r="A353" i="10" s="1"/>
  <c r="A354" i="10" s="1"/>
  <c r="A355" i="10" s="1"/>
  <c r="A356" i="10" s="1"/>
  <c r="A357" i="10" s="1"/>
  <c r="A358" i="10" s="1"/>
  <c r="A359" i="10" s="1"/>
  <c r="A360" i="10" s="1"/>
  <c r="A361" i="10" s="1"/>
  <c r="A362" i="10" s="1"/>
  <c r="A363" i="10" s="1"/>
  <c r="A364" i="10" s="1"/>
  <c r="CI138" i="10"/>
  <c r="E666" i="10"/>
  <c r="CG140" i="10"/>
  <c r="M602" i="10" s="1"/>
  <c r="CG131" i="10"/>
  <c r="CI132" i="10"/>
  <c r="CH132" i="10"/>
  <c r="D143" i="10"/>
  <c r="E664" i="10"/>
  <c r="D135" i="10"/>
  <c r="AI22" i="8" s="1"/>
  <c r="AI57" i="8" s="1"/>
  <c r="E661" i="10"/>
  <c r="E663" i="10"/>
  <c r="E146" i="10"/>
  <c r="E141" i="10"/>
  <c r="AJ28" i="8" s="1"/>
  <c r="AJ63" i="8" s="1"/>
  <c r="D130" i="10"/>
  <c r="AI17" i="8" s="1"/>
  <c r="AI52" i="8" s="1"/>
  <c r="J127" i="10"/>
  <c r="K125" i="10"/>
  <c r="E139" i="10"/>
  <c r="AJ26" i="8" s="1"/>
  <c r="AJ61" i="8" s="1"/>
  <c r="K136" i="10"/>
  <c r="E131" i="10"/>
  <c r="AJ18" i="8" s="1"/>
  <c r="AJ53" i="8" s="1"/>
  <c r="D118" i="10"/>
  <c r="AI5" i="8" s="1"/>
  <c r="AI40" i="8" s="1"/>
  <c r="K636" i="10"/>
  <c r="J636" i="10"/>
  <c r="E665" i="10"/>
  <c r="E662" i="10"/>
  <c r="K602" i="10"/>
  <c r="J554" i="10"/>
  <c r="K554" i="10"/>
  <c r="K552" i="10"/>
  <c r="E147" i="10"/>
  <c r="AJ34" i="8" s="1"/>
  <c r="AJ69" i="8" s="1"/>
  <c r="K133" i="10"/>
  <c r="E132" i="10"/>
  <c r="AJ19" i="8" s="1"/>
  <c r="AJ54" i="8" s="1"/>
  <c r="J126" i="10"/>
  <c r="E121" i="10"/>
  <c r="AJ8" i="8" s="1"/>
  <c r="AJ43" i="8" s="1"/>
  <c r="E116" i="10"/>
  <c r="AJ3" i="8" s="1"/>
  <c r="AJ38" i="8" s="1"/>
  <c r="K117" i="10"/>
  <c r="E118" i="10"/>
  <c r="AJ5" i="8" s="1"/>
  <c r="AJ40" i="8" s="1"/>
  <c r="E119" i="10"/>
  <c r="AJ6" i="8" s="1"/>
  <c r="AJ41" i="8" s="1"/>
  <c r="K120" i="10"/>
  <c r="J121" i="10"/>
  <c r="E122" i="10"/>
  <c r="AJ9" i="8" s="1"/>
  <c r="AJ44" i="8" s="1"/>
  <c r="D123" i="10"/>
  <c r="AI10" i="8" s="1"/>
  <c r="AI45" i="8" s="1"/>
  <c r="K124" i="10"/>
  <c r="D125" i="10"/>
  <c r="AI12" i="8" s="1"/>
  <c r="AI47" i="8" s="1"/>
  <c r="K126" i="10"/>
  <c r="K127" i="10"/>
  <c r="E128" i="10"/>
  <c r="AJ15" i="8" s="1"/>
  <c r="AJ50" i="8" s="1"/>
  <c r="J129" i="10"/>
  <c r="E130" i="10"/>
  <c r="AJ17" i="8" s="1"/>
  <c r="AJ52" i="8" s="1"/>
  <c r="J131" i="10"/>
  <c r="J132" i="10"/>
  <c r="D133" i="10"/>
  <c r="AI20" i="8" s="1"/>
  <c r="AI55" i="8" s="1"/>
  <c r="E134" i="10"/>
  <c r="AJ21" i="8" s="1"/>
  <c r="AJ56" i="8" s="1"/>
  <c r="E135" i="10"/>
  <c r="AJ22" i="8" s="1"/>
  <c r="AJ57" i="8" s="1"/>
  <c r="D136" i="10"/>
  <c r="AI23" i="8" s="1"/>
  <c r="AI58" i="8" s="1"/>
  <c r="J137" i="10"/>
  <c r="K138" i="10"/>
  <c r="J139" i="10"/>
  <c r="D140" i="10"/>
  <c r="AI27" i="8" s="1"/>
  <c r="AI62" i="8" s="1"/>
  <c r="J141" i="10"/>
  <c r="K142" i="10"/>
  <c r="E143" i="10"/>
  <c r="AJ30" i="8" s="1"/>
  <c r="AJ65" i="8" s="1"/>
  <c r="D144" i="10"/>
  <c r="AI31" i="8" s="1"/>
  <c r="AI66" i="8" s="1"/>
  <c r="E148" i="10"/>
  <c r="AJ35" i="8" s="1"/>
  <c r="AJ70" i="8" s="1"/>
  <c r="B332" i="10"/>
  <c r="J116" i="10"/>
  <c r="M116" i="10" s="1"/>
  <c r="AL3" i="8" s="1"/>
  <c r="AL38" i="8" s="1"/>
  <c r="D117" i="10"/>
  <c r="AI4" i="8" s="1"/>
  <c r="AI39" i="8" s="1"/>
  <c r="J118" i="10"/>
  <c r="J119" i="10"/>
  <c r="D120" i="10"/>
  <c r="AI7" i="8" s="1"/>
  <c r="AI42" i="8" s="1"/>
  <c r="K121" i="10"/>
  <c r="J122" i="10"/>
  <c r="E123" i="10"/>
  <c r="AJ10" i="8" s="1"/>
  <c r="AJ45" i="8" s="1"/>
  <c r="D124" i="10"/>
  <c r="AI11" i="8" s="1"/>
  <c r="AI46" i="8" s="1"/>
  <c r="E125" i="10"/>
  <c r="AJ12" i="8" s="1"/>
  <c r="AJ47" i="8" s="1"/>
  <c r="D126" i="10"/>
  <c r="AI13" i="8" s="1"/>
  <c r="AI48" i="8" s="1"/>
  <c r="D127" i="10"/>
  <c r="AI14" i="8" s="1"/>
  <c r="AI49" i="8" s="1"/>
  <c r="J128" i="10"/>
  <c r="K129" i="10"/>
  <c r="J130" i="10"/>
  <c r="K131" i="10"/>
  <c r="K132" i="10"/>
  <c r="E133" i="10"/>
  <c r="AJ20" i="8" s="1"/>
  <c r="AJ55" i="8" s="1"/>
  <c r="J134" i="10"/>
  <c r="J135" i="10"/>
  <c r="E136" i="10"/>
  <c r="AJ23" i="8" s="1"/>
  <c r="AJ58" i="8" s="1"/>
  <c r="K137" i="10"/>
  <c r="D138" i="10"/>
  <c r="AI25" i="8" s="1"/>
  <c r="AI60" i="8" s="1"/>
  <c r="K139" i="10"/>
  <c r="E140" i="10"/>
  <c r="AJ27" i="8" s="1"/>
  <c r="AJ62" i="8" s="1"/>
  <c r="K141" i="10"/>
  <c r="D142" i="10"/>
  <c r="AI29" i="8" s="1"/>
  <c r="AI64" i="8" s="1"/>
  <c r="J143" i="10"/>
  <c r="E144" i="10"/>
  <c r="AJ31" i="8" s="1"/>
  <c r="AJ66" i="8" s="1"/>
  <c r="D145" i="10"/>
  <c r="AI32" i="8" s="1"/>
  <c r="AI67" i="8" s="1"/>
  <c r="K116" i="10"/>
  <c r="N116" i="10" s="1"/>
  <c r="E117" i="10"/>
  <c r="AJ4" i="8" s="1"/>
  <c r="AJ39" i="8" s="1"/>
  <c r="K118" i="10"/>
  <c r="K119" i="10"/>
  <c r="E120" i="10"/>
  <c r="AJ7" i="8" s="1"/>
  <c r="AJ42" i="8" s="1"/>
  <c r="D121" i="10"/>
  <c r="AI8" i="8" s="1"/>
  <c r="AI43" i="8" s="1"/>
  <c r="K122" i="10"/>
  <c r="J123" i="10"/>
  <c r="E124" i="10"/>
  <c r="AJ11" i="8" s="1"/>
  <c r="AJ46" i="8" s="1"/>
  <c r="J125" i="10"/>
  <c r="E126" i="10"/>
  <c r="AJ13" i="8" s="1"/>
  <c r="AJ48" i="8" s="1"/>
  <c r="E127" i="10"/>
  <c r="K128" i="10"/>
  <c r="D129" i="10"/>
  <c r="AI16" i="8" s="1"/>
  <c r="AI51" i="8" s="1"/>
  <c r="K130" i="10"/>
  <c r="D131" i="10"/>
  <c r="AI18" i="8" s="1"/>
  <c r="AI53" i="8" s="1"/>
  <c r="D132" i="10"/>
  <c r="AI19" i="8" s="1"/>
  <c r="AI54" i="8" s="1"/>
  <c r="J133" i="10"/>
  <c r="K134" i="10"/>
  <c r="K135" i="10"/>
  <c r="J136" i="10"/>
  <c r="D137" i="10"/>
  <c r="AI24" i="8" s="1"/>
  <c r="AI59" i="8" s="1"/>
  <c r="E138" i="10"/>
  <c r="AJ25" i="8" s="1"/>
  <c r="AJ60" i="8" s="1"/>
  <c r="D139" i="10"/>
  <c r="AI26" i="8" s="1"/>
  <c r="AI61" i="8" s="1"/>
  <c r="J140" i="10"/>
  <c r="D141" i="10"/>
  <c r="AI28" i="8" s="1"/>
  <c r="AI63" i="8" s="1"/>
  <c r="E142" i="10"/>
  <c r="AJ29" i="8" s="1"/>
  <c r="AJ64" i="8" s="1"/>
  <c r="K143" i="10"/>
  <c r="J144" i="10"/>
  <c r="E145" i="10"/>
  <c r="AJ32" i="8" s="1"/>
  <c r="AJ67" i="8" s="1"/>
  <c r="D146" i="10"/>
  <c r="AI33" i="8" s="1"/>
  <c r="AI68" i="8" s="1"/>
  <c r="D147" i="10"/>
  <c r="AI34" i="8" s="1"/>
  <c r="AI69" i="8" s="1"/>
  <c r="D148" i="10"/>
  <c r="AI35" i="8" s="1"/>
  <c r="AI70" i="8" s="1"/>
  <c r="J138" i="10"/>
  <c r="E137" i="10"/>
  <c r="AJ24" i="8" s="1"/>
  <c r="AJ59" i="8" s="1"/>
  <c r="D128" i="10"/>
  <c r="K123" i="10"/>
  <c r="D122" i="10"/>
  <c r="AI9" i="8" s="1"/>
  <c r="AI44" i="8" s="1"/>
  <c r="K144" i="10"/>
  <c r="J142" i="10"/>
  <c r="K140" i="10"/>
  <c r="D134" i="10"/>
  <c r="AI21" i="8" s="1"/>
  <c r="AI56" i="8" s="1"/>
  <c r="E129" i="10"/>
  <c r="AJ16" i="8" s="1"/>
  <c r="AJ51" i="8" s="1"/>
  <c r="J124" i="10"/>
  <c r="J120" i="10"/>
  <c r="J117" i="10"/>
  <c r="K550" i="10"/>
  <c r="K642" i="10"/>
  <c r="J642" i="10"/>
  <c r="I641" i="10"/>
  <c r="I566" i="10"/>
  <c r="I562" i="10"/>
  <c r="I558" i="10"/>
  <c r="Q116" i="10"/>
  <c r="I639" i="10"/>
  <c r="I640" i="10"/>
  <c r="J638" i="10"/>
  <c r="I637" i="10"/>
  <c r="K635" i="10"/>
  <c r="I568" i="10"/>
  <c r="I564" i="10"/>
  <c r="I560" i="10"/>
  <c r="J555" i="10"/>
  <c r="K555" i="10"/>
  <c r="J551" i="10"/>
  <c r="K551" i="10"/>
  <c r="I601" i="10"/>
  <c r="J553" i="10"/>
  <c r="K553" i="10"/>
  <c r="I567" i="10"/>
  <c r="I565" i="10"/>
  <c r="I563" i="10"/>
  <c r="I561" i="10"/>
  <c r="I559" i="10"/>
  <c r="I557" i="10"/>
  <c r="I556" i="10"/>
  <c r="BS136" i="10"/>
  <c r="N351" i="16" l="1"/>
  <c r="O351" i="16" s="1"/>
  <c r="B337" i="16"/>
  <c r="K336" i="16"/>
  <c r="L336" i="16" s="1"/>
  <c r="F662" i="11"/>
  <c r="F663" i="11"/>
  <c r="F660" i="11"/>
  <c r="F653" i="11"/>
  <c r="F650" i="11"/>
  <c r="F659" i="11"/>
  <c r="F651" i="11"/>
  <c r="F667" i="11"/>
  <c r="F664" i="11"/>
  <c r="F656" i="11"/>
  <c r="P320" i="11"/>
  <c r="F666" i="11"/>
  <c r="F655" i="11"/>
  <c r="F652" i="11"/>
  <c r="F668" i="11"/>
  <c r="F661" i="11"/>
  <c r="F654" i="11"/>
  <c r="F670" i="11"/>
  <c r="F657" i="11"/>
  <c r="F658" i="11"/>
  <c r="F649" i="11"/>
  <c r="F665" i="11"/>
  <c r="G656" i="11"/>
  <c r="G653" i="11"/>
  <c r="G662" i="11"/>
  <c r="G666" i="11"/>
  <c r="AI116" i="10"/>
  <c r="AM3" i="8"/>
  <c r="AM38" i="8" s="1"/>
  <c r="AJ146" i="10"/>
  <c r="AJ33" i="8"/>
  <c r="AJ68" i="8" s="1"/>
  <c r="P321" i="11"/>
  <c r="G665" i="11"/>
  <c r="G657" i="11"/>
  <c r="M119" i="10"/>
  <c r="AL6" i="8" s="1"/>
  <c r="AL41" i="8" s="1"/>
  <c r="AI6" i="8"/>
  <c r="AI41" i="8" s="1"/>
  <c r="Q128" i="10"/>
  <c r="CH115" i="10" s="1"/>
  <c r="F548" i="10" s="1"/>
  <c r="AI15" i="8"/>
  <c r="AI50" i="8" s="1"/>
  <c r="AJ127" i="10"/>
  <c r="AJ14" i="8"/>
  <c r="AJ49" i="8" s="1"/>
  <c r="M143" i="10"/>
  <c r="AL30" i="8" s="1"/>
  <c r="AL65" i="8" s="1"/>
  <c r="AI30" i="8"/>
  <c r="AI65" i="8" s="1"/>
  <c r="G669" i="11"/>
  <c r="G654" i="11"/>
  <c r="G663" i="11"/>
  <c r="F65" i="8"/>
  <c r="F36" i="8"/>
  <c r="E36" i="8"/>
  <c r="Q119" i="10"/>
  <c r="R119" i="10" s="1"/>
  <c r="G649" i="11"/>
  <c r="G650" i="11"/>
  <c r="G670" i="11"/>
  <c r="G658" i="11"/>
  <c r="G655" i="11"/>
  <c r="G660" i="11"/>
  <c r="G661" i="11"/>
  <c r="G659" i="11"/>
  <c r="G651" i="11"/>
  <c r="G667" i="11"/>
  <c r="G664" i="11"/>
  <c r="G652" i="11"/>
  <c r="I670" i="11"/>
  <c r="I666" i="11"/>
  <c r="I662" i="11"/>
  <c r="I659" i="11"/>
  <c r="I654" i="11"/>
  <c r="I650" i="11"/>
  <c r="I669" i="11"/>
  <c r="I665" i="11"/>
  <c r="I661" i="11"/>
  <c r="I656" i="11"/>
  <c r="I653" i="11"/>
  <c r="I649" i="11"/>
  <c r="I668" i="11"/>
  <c r="I664" i="11"/>
  <c r="I660" i="11"/>
  <c r="I658" i="11"/>
  <c r="I652" i="11"/>
  <c r="I663" i="11"/>
  <c r="I655" i="11"/>
  <c r="I651" i="11"/>
  <c r="I667" i="11"/>
  <c r="I657" i="11"/>
  <c r="P322" i="11"/>
  <c r="K383" i="11"/>
  <c r="CH134" i="11"/>
  <c r="CK134" i="11" s="1"/>
  <c r="CJ134" i="11"/>
  <c r="CG135" i="11"/>
  <c r="CI134" i="11"/>
  <c r="CL134" i="11" s="1"/>
  <c r="A342" i="11"/>
  <c r="J341" i="11"/>
  <c r="F341" i="11"/>
  <c r="E341" i="11"/>
  <c r="D341" i="11"/>
  <c r="CP134" i="11"/>
  <c r="CM135" i="11"/>
  <c r="CO134" i="11"/>
  <c r="CR134" i="11" s="1"/>
  <c r="CN134" i="11"/>
  <c r="CQ134" i="11" s="1"/>
  <c r="K360" i="11"/>
  <c r="K366" i="11"/>
  <c r="CI113" i="11"/>
  <c r="CL113" i="11" s="1"/>
  <c r="CG112" i="11"/>
  <c r="CH113" i="11"/>
  <c r="CK113" i="11" s="1"/>
  <c r="CJ113" i="11"/>
  <c r="A412" i="11"/>
  <c r="D411" i="11"/>
  <c r="C411" i="11"/>
  <c r="J411" i="11"/>
  <c r="B411" i="11"/>
  <c r="CO112" i="11"/>
  <c r="CR112" i="11" s="1"/>
  <c r="CN112" i="11"/>
  <c r="CQ112" i="11" s="1"/>
  <c r="CP112" i="11"/>
  <c r="K373" i="11"/>
  <c r="V638" i="11"/>
  <c r="E17" i="8"/>
  <c r="F4" i="8"/>
  <c r="E25" i="8"/>
  <c r="E12" i="8"/>
  <c r="E8" i="8"/>
  <c r="E33" i="8"/>
  <c r="E42" i="8"/>
  <c r="E50" i="8"/>
  <c r="E58" i="8"/>
  <c r="E5" i="8"/>
  <c r="E9" i="8"/>
  <c r="E13" i="8"/>
  <c r="E19" i="8"/>
  <c r="E27" i="8"/>
  <c r="E35" i="8"/>
  <c r="E44" i="8"/>
  <c r="E52" i="8"/>
  <c r="E60" i="8"/>
  <c r="F571" i="10"/>
  <c r="A414" i="10"/>
  <c r="B665" i="10"/>
  <c r="E6" i="8"/>
  <c r="E10" i="8"/>
  <c r="E14" i="8"/>
  <c r="E21" i="8"/>
  <c r="E29" i="8"/>
  <c r="E38" i="8"/>
  <c r="E46" i="8"/>
  <c r="E54" i="8"/>
  <c r="E62" i="8"/>
  <c r="E4" i="8"/>
  <c r="E7" i="8"/>
  <c r="E11" i="8"/>
  <c r="E15" i="8"/>
  <c r="E23" i="8"/>
  <c r="E31" i="8"/>
  <c r="E40" i="8"/>
  <c r="E48" i="8"/>
  <c r="E56" i="8"/>
  <c r="E64" i="8"/>
  <c r="E548" i="10"/>
  <c r="E659" i="10" s="1"/>
  <c r="BN116" i="10"/>
  <c r="Y131" i="10"/>
  <c r="CM126" i="10"/>
  <c r="CO127" i="10"/>
  <c r="CN127" i="10"/>
  <c r="CM142" i="10"/>
  <c r="CO141" i="10"/>
  <c r="CN141" i="10"/>
  <c r="Q135" i="10"/>
  <c r="AH135" i="10" s="1"/>
  <c r="Q118" i="10"/>
  <c r="R118" i="10" s="1"/>
  <c r="Q124" i="10"/>
  <c r="AH124" i="10" s="1"/>
  <c r="Q130" i="10"/>
  <c r="R130" i="10" s="1"/>
  <c r="Q127" i="10"/>
  <c r="AH127" i="10" s="1"/>
  <c r="Q131" i="10"/>
  <c r="R131" i="10" s="1"/>
  <c r="Q117" i="10"/>
  <c r="F603" i="10" s="1"/>
  <c r="M117" i="10"/>
  <c r="F569" i="10"/>
  <c r="Q143" i="10"/>
  <c r="M118" i="10"/>
  <c r="AJ137" i="10"/>
  <c r="S116" i="10"/>
  <c r="AJ131" i="10"/>
  <c r="CG141" i="10"/>
  <c r="CI140" i="10"/>
  <c r="CH140" i="10"/>
  <c r="AJ139" i="10"/>
  <c r="AJ141" i="10"/>
  <c r="AJ145" i="10"/>
  <c r="AJ143" i="10"/>
  <c r="AJ119" i="10"/>
  <c r="AJ121" i="10"/>
  <c r="AJ147" i="10"/>
  <c r="CG130" i="10"/>
  <c r="CH131" i="10"/>
  <c r="CI131" i="10"/>
  <c r="L601" i="10"/>
  <c r="M135" i="10"/>
  <c r="F582" i="10"/>
  <c r="AA591" i="10"/>
  <c r="AR133" i="10"/>
  <c r="AW133" i="10" s="1"/>
  <c r="AZ133" i="10" s="1"/>
  <c r="AA569" i="10"/>
  <c r="M130" i="10"/>
  <c r="AR118" i="10"/>
  <c r="AW118" i="10" s="1"/>
  <c r="AZ118" i="10" s="1"/>
  <c r="Z569" i="10"/>
  <c r="F600" i="10"/>
  <c r="AR144" i="10"/>
  <c r="AW144" i="10" s="1"/>
  <c r="AZ144" i="10" s="1"/>
  <c r="AA593" i="10"/>
  <c r="AR147" i="10"/>
  <c r="AW147" i="10" s="1"/>
  <c r="AZ147" i="10" s="1"/>
  <c r="AR117" i="10"/>
  <c r="AW117" i="10" s="1"/>
  <c r="AZ117" i="10" s="1"/>
  <c r="AA583" i="10"/>
  <c r="AR129" i="10"/>
  <c r="AW129" i="10" s="1"/>
  <c r="AZ129" i="10" s="1"/>
  <c r="AR131" i="10"/>
  <c r="AW131" i="10" s="1"/>
  <c r="AZ131" i="10" s="1"/>
  <c r="AR121" i="10"/>
  <c r="AW121" i="10" s="1"/>
  <c r="AZ121" i="10" s="1"/>
  <c r="AR125" i="10"/>
  <c r="AW125" i="10" s="1"/>
  <c r="AZ125" i="10" s="1"/>
  <c r="AR141" i="10"/>
  <c r="AW141" i="10" s="1"/>
  <c r="AZ141" i="10" s="1"/>
  <c r="AA598" i="10"/>
  <c r="Z593" i="10"/>
  <c r="AR140" i="10"/>
  <c r="AW140" i="10" s="1"/>
  <c r="AZ140" i="10" s="1"/>
  <c r="AR128" i="10"/>
  <c r="AW128" i="10" s="1"/>
  <c r="AZ128" i="10" s="1"/>
  <c r="N143" i="10"/>
  <c r="Q132" i="10"/>
  <c r="M132" i="10"/>
  <c r="F584" i="10"/>
  <c r="Z576" i="10"/>
  <c r="AA576" i="10"/>
  <c r="AJ124" i="10"/>
  <c r="Q142" i="10"/>
  <c r="M142" i="10"/>
  <c r="F594" i="10"/>
  <c r="Q138" i="10"/>
  <c r="M138" i="10"/>
  <c r="F590" i="10"/>
  <c r="M126" i="10"/>
  <c r="Q126" i="10"/>
  <c r="F578" i="10"/>
  <c r="M133" i="10"/>
  <c r="F585" i="10"/>
  <c r="AR124" i="10"/>
  <c r="AW124" i="10" s="1"/>
  <c r="AZ124" i="10" s="1"/>
  <c r="AR127" i="10"/>
  <c r="AW127" i="10" s="1"/>
  <c r="AZ127" i="10" s="1"/>
  <c r="AR142" i="10"/>
  <c r="AW142" i="10" s="1"/>
  <c r="AZ142" i="10" s="1"/>
  <c r="AR138" i="10"/>
  <c r="AW138" i="10" s="1"/>
  <c r="AZ138" i="10" s="1"/>
  <c r="Q133" i="10"/>
  <c r="AH133" i="10" s="1"/>
  <c r="AJ129" i="10"/>
  <c r="Z581" i="10"/>
  <c r="AA581" i="10"/>
  <c r="F595" i="10"/>
  <c r="F580" i="10"/>
  <c r="M128" i="10"/>
  <c r="M147" i="10"/>
  <c r="Q147" i="10"/>
  <c r="F599" i="10"/>
  <c r="M139" i="10"/>
  <c r="Q139" i="10"/>
  <c r="F591" i="10"/>
  <c r="M131" i="10"/>
  <c r="F583" i="10"/>
  <c r="Z579" i="10"/>
  <c r="AA579" i="10"/>
  <c r="Q145" i="10"/>
  <c r="M145" i="10"/>
  <c r="F597" i="10"/>
  <c r="AJ133" i="10"/>
  <c r="Z585" i="10"/>
  <c r="AA585" i="10"/>
  <c r="AJ125" i="10"/>
  <c r="Z577" i="10"/>
  <c r="AA577" i="10"/>
  <c r="Q144" i="10"/>
  <c r="M144" i="10"/>
  <c r="F596" i="10"/>
  <c r="Q140" i="10"/>
  <c r="M140" i="10"/>
  <c r="F592" i="10"/>
  <c r="Q136" i="10"/>
  <c r="M136" i="10"/>
  <c r="F588" i="10"/>
  <c r="AJ128" i="10"/>
  <c r="Z580" i="10"/>
  <c r="AA580" i="10"/>
  <c r="P116" i="10"/>
  <c r="AJ116" i="10"/>
  <c r="AJ132" i="10"/>
  <c r="Z584" i="10"/>
  <c r="AA584" i="10"/>
  <c r="M148" i="10"/>
  <c r="AR137" i="10"/>
  <c r="AW137" i="10" s="1"/>
  <c r="AZ137" i="10" s="1"/>
  <c r="Z589" i="10"/>
  <c r="AA589" i="10"/>
  <c r="M146" i="10"/>
  <c r="Q146" i="10"/>
  <c r="F598" i="10"/>
  <c r="AJ142" i="10"/>
  <c r="Z594" i="10"/>
  <c r="AA594" i="10"/>
  <c r="AJ138" i="10"/>
  <c r="Z590" i="10"/>
  <c r="AA590" i="10"/>
  <c r="Z591" i="10"/>
  <c r="AA578" i="10"/>
  <c r="Z578" i="10"/>
  <c r="AJ126" i="10"/>
  <c r="AJ144" i="10"/>
  <c r="AA596" i="10"/>
  <c r="Z596" i="10"/>
  <c r="AJ140" i="10"/>
  <c r="Z592" i="10"/>
  <c r="AA592" i="10"/>
  <c r="AR136" i="10"/>
  <c r="AW136" i="10" s="1"/>
  <c r="AZ136" i="10" s="1"/>
  <c r="AJ136" i="10"/>
  <c r="AA588" i="10"/>
  <c r="Z588" i="10"/>
  <c r="M124" i="10"/>
  <c r="F576" i="10"/>
  <c r="F572" i="10"/>
  <c r="M120" i="10"/>
  <c r="Q120" i="10"/>
  <c r="Z595" i="10"/>
  <c r="AA595" i="10"/>
  <c r="AR143" i="10"/>
  <c r="AW143" i="10" s="1"/>
  <c r="AZ143" i="10" s="1"/>
  <c r="AJ135" i="10"/>
  <c r="AR135" i="10"/>
  <c r="AW135" i="10" s="1"/>
  <c r="AZ135" i="10" s="1"/>
  <c r="Z587" i="10"/>
  <c r="AA587" i="10"/>
  <c r="M123" i="10"/>
  <c r="Q123" i="10"/>
  <c r="F575" i="10"/>
  <c r="AR119" i="10"/>
  <c r="AW119" i="10" s="1"/>
  <c r="AZ119" i="10" s="1"/>
  <c r="Z571" i="10"/>
  <c r="AA571" i="10"/>
  <c r="AR146" i="10"/>
  <c r="AW146" i="10" s="1"/>
  <c r="AZ146" i="10" s="1"/>
  <c r="AR139" i="10"/>
  <c r="AW139" i="10" s="1"/>
  <c r="AZ139" i="10" s="1"/>
  <c r="Z572" i="10"/>
  <c r="AJ120" i="10"/>
  <c r="AA572" i="10"/>
  <c r="AJ148" i="10"/>
  <c r="AA600" i="10"/>
  <c r="Z600" i="10"/>
  <c r="AR126" i="10"/>
  <c r="AW126" i="10" s="1"/>
  <c r="AZ126" i="10" s="1"/>
  <c r="M125" i="10"/>
  <c r="Q125" i="10"/>
  <c r="F577" i="10"/>
  <c r="AR120" i="10"/>
  <c r="AW120" i="10" s="1"/>
  <c r="AZ120" i="10" s="1"/>
  <c r="AR132" i="10"/>
  <c r="AW132" i="10" s="1"/>
  <c r="AZ132" i="10" s="1"/>
  <c r="Q148" i="10"/>
  <c r="R148" i="10" s="1"/>
  <c r="AR148" i="10"/>
  <c r="AW148" i="10" s="1"/>
  <c r="AZ148" i="10" s="1"/>
  <c r="AR134" i="10"/>
  <c r="AW134" i="10" s="1"/>
  <c r="AZ134" i="10" s="1"/>
  <c r="Q134" i="10"/>
  <c r="F586" i="10"/>
  <c r="M134" i="10"/>
  <c r="F587" i="10"/>
  <c r="Q122" i="10"/>
  <c r="F574" i="10"/>
  <c r="M122" i="10"/>
  <c r="Z598" i="10"/>
  <c r="AR145" i="10"/>
  <c r="AW145" i="10" s="1"/>
  <c r="AZ145" i="10" s="1"/>
  <c r="Z597" i="10"/>
  <c r="AA597" i="10"/>
  <c r="M141" i="10"/>
  <c r="Q141" i="10"/>
  <c r="F593" i="10"/>
  <c r="Q137" i="10"/>
  <c r="M137" i="10"/>
  <c r="F589" i="10"/>
  <c r="AR130" i="10"/>
  <c r="AW130" i="10" s="1"/>
  <c r="AZ130" i="10" s="1"/>
  <c r="M129" i="10"/>
  <c r="F581" i="10"/>
  <c r="Q129" i="10"/>
  <c r="Q121" i="10"/>
  <c r="M121" i="10"/>
  <c r="F573" i="10"/>
  <c r="AJ117" i="10"/>
  <c r="M127" i="10"/>
  <c r="F579" i="10"/>
  <c r="AR123" i="10"/>
  <c r="AW123" i="10" s="1"/>
  <c r="AZ123" i="10" s="1"/>
  <c r="Z575" i="10"/>
  <c r="AA575" i="10"/>
  <c r="AJ123" i="10"/>
  <c r="AJ134" i="10"/>
  <c r="Z586" i="10"/>
  <c r="AA586" i="10"/>
  <c r="AJ130" i="10"/>
  <c r="Z582" i="10"/>
  <c r="AA582" i="10"/>
  <c r="Z583" i="10"/>
  <c r="AR122" i="10"/>
  <c r="AW122" i="10" s="1"/>
  <c r="AZ122" i="10" s="1"/>
  <c r="AA574" i="10"/>
  <c r="AJ122" i="10"/>
  <c r="Z574" i="10"/>
  <c r="AJ118" i="10"/>
  <c r="Z570" i="10"/>
  <c r="AA570" i="10"/>
  <c r="Z573" i="10"/>
  <c r="AA573" i="10"/>
  <c r="Z599" i="10"/>
  <c r="AA599" i="10"/>
  <c r="F570" i="10"/>
  <c r="K557" i="10"/>
  <c r="J557" i="10"/>
  <c r="J637" i="10"/>
  <c r="K637" i="10"/>
  <c r="K565" i="10"/>
  <c r="J565" i="10"/>
  <c r="K639" i="10"/>
  <c r="J639" i="10"/>
  <c r="K559" i="10"/>
  <c r="J559" i="10"/>
  <c r="K563" i="10"/>
  <c r="J563" i="10"/>
  <c r="K567" i="10"/>
  <c r="J567" i="10"/>
  <c r="AH116" i="10"/>
  <c r="R116" i="10"/>
  <c r="J558" i="10"/>
  <c r="K558" i="10"/>
  <c r="J562" i="10"/>
  <c r="K562" i="10"/>
  <c r="J566" i="10"/>
  <c r="K566" i="10"/>
  <c r="K641" i="10"/>
  <c r="J641" i="10"/>
  <c r="K561" i="10"/>
  <c r="J561" i="10"/>
  <c r="K556" i="10"/>
  <c r="J556" i="10"/>
  <c r="J601" i="10"/>
  <c r="K601" i="10"/>
  <c r="J560" i="10"/>
  <c r="K560" i="10"/>
  <c r="J564" i="10"/>
  <c r="K564" i="10"/>
  <c r="J568" i="10"/>
  <c r="K568" i="10"/>
  <c r="K640" i="10"/>
  <c r="J640" i="10"/>
  <c r="F5" i="8"/>
  <c r="F7" i="8"/>
  <c r="F9" i="8"/>
  <c r="F11" i="8"/>
  <c r="F13" i="8"/>
  <c r="F15" i="8"/>
  <c r="F17" i="8"/>
  <c r="F19" i="8"/>
  <c r="F21" i="8"/>
  <c r="F23" i="8"/>
  <c r="F25" i="8"/>
  <c r="F27" i="8"/>
  <c r="F29" i="8"/>
  <c r="F31" i="8"/>
  <c r="F33" i="8"/>
  <c r="I33" i="8" s="1"/>
  <c r="F35" i="8"/>
  <c r="I35" i="8" s="1"/>
  <c r="F38" i="8"/>
  <c r="F40" i="8"/>
  <c r="F42" i="8"/>
  <c r="F44" i="8"/>
  <c r="F46" i="8"/>
  <c r="F48" i="8"/>
  <c r="F50" i="8"/>
  <c r="F52" i="8"/>
  <c r="F54" i="8"/>
  <c r="F56" i="8"/>
  <c r="F58" i="8"/>
  <c r="F60" i="8"/>
  <c r="F62" i="8"/>
  <c r="F64" i="8"/>
  <c r="E16" i="8"/>
  <c r="E18" i="8"/>
  <c r="E20" i="8"/>
  <c r="E22" i="8"/>
  <c r="E24" i="8"/>
  <c r="E26" i="8"/>
  <c r="E28" i="8"/>
  <c r="E30" i="8"/>
  <c r="E32" i="8"/>
  <c r="E34" i="8"/>
  <c r="E37" i="8"/>
  <c r="E39" i="8"/>
  <c r="E41" i="8"/>
  <c r="E43" i="8"/>
  <c r="E45" i="8"/>
  <c r="E47" i="8"/>
  <c r="E49" i="8"/>
  <c r="E51" i="8"/>
  <c r="E53" i="8"/>
  <c r="E55" i="8"/>
  <c r="E57" i="8"/>
  <c r="E59" i="8"/>
  <c r="E61" i="8"/>
  <c r="E63" i="8"/>
  <c r="E65" i="8"/>
  <c r="F6" i="8"/>
  <c r="F8" i="8"/>
  <c r="F10" i="8"/>
  <c r="F12" i="8"/>
  <c r="F14" i="8"/>
  <c r="F16" i="8"/>
  <c r="F18" i="8"/>
  <c r="F20" i="8"/>
  <c r="F22" i="8"/>
  <c r="F24" i="8"/>
  <c r="F26" i="8"/>
  <c r="F28" i="8"/>
  <c r="F30" i="8"/>
  <c r="F32" i="8"/>
  <c r="I32" i="8" s="1"/>
  <c r="F34" i="8"/>
  <c r="I34" i="8" s="1"/>
  <c r="F37" i="8"/>
  <c r="I4" i="8" s="1"/>
  <c r="F39" i="8"/>
  <c r="F41" i="8"/>
  <c r="F43" i="8"/>
  <c r="F45" i="8"/>
  <c r="F47" i="8"/>
  <c r="F49" i="8"/>
  <c r="F51" i="8"/>
  <c r="F53" i="8"/>
  <c r="F55" i="8"/>
  <c r="F57" i="8"/>
  <c r="F59" i="8"/>
  <c r="F61" i="8"/>
  <c r="F63" i="8"/>
  <c r="N352" i="16" l="1"/>
  <c r="O352" i="16" s="1"/>
  <c r="B338" i="16"/>
  <c r="K337" i="16"/>
  <c r="L337" i="16" s="1"/>
  <c r="AH128" i="10"/>
  <c r="N119" i="10"/>
  <c r="AM6" i="8" s="1"/>
  <c r="AM41" i="8" s="1"/>
  <c r="F615" i="10"/>
  <c r="AH119" i="10"/>
  <c r="R128" i="10"/>
  <c r="I14" i="8"/>
  <c r="I11" i="8"/>
  <c r="N139" i="10"/>
  <c r="G591" i="10" s="1"/>
  <c r="AL26" i="8"/>
  <c r="AL61" i="8" s="1"/>
  <c r="N128" i="10"/>
  <c r="M580" i="10" s="1"/>
  <c r="AL15" i="8"/>
  <c r="AL50" i="8" s="1"/>
  <c r="N133" i="10"/>
  <c r="AS134" i="10" s="1"/>
  <c r="AX134" i="10" s="1"/>
  <c r="BA134" i="10" s="1"/>
  <c r="AL20" i="8"/>
  <c r="AL55" i="8" s="1"/>
  <c r="N142" i="10"/>
  <c r="AM29" i="8" s="1"/>
  <c r="AM64" i="8" s="1"/>
  <c r="AL29" i="8"/>
  <c r="AL64" i="8" s="1"/>
  <c r="M595" i="10"/>
  <c r="AM30" i="8"/>
  <c r="AM65" i="8" s="1"/>
  <c r="N135" i="10"/>
  <c r="AL22" i="8"/>
  <c r="AL57" i="8" s="1"/>
  <c r="I22" i="8"/>
  <c r="I19" i="8"/>
  <c r="I28" i="8"/>
  <c r="I20" i="8"/>
  <c r="I12" i="8"/>
  <c r="I25" i="8"/>
  <c r="I17" i="8"/>
  <c r="I9" i="8"/>
  <c r="N125" i="10"/>
  <c r="AM12" i="8" s="1"/>
  <c r="AM47" i="8" s="1"/>
  <c r="AL12" i="8"/>
  <c r="AL47" i="8" s="1"/>
  <c r="N146" i="10"/>
  <c r="G598" i="10" s="1"/>
  <c r="AL33" i="8"/>
  <c r="AL68" i="8" s="1"/>
  <c r="N148" i="10"/>
  <c r="AM35" i="8" s="1"/>
  <c r="AM70" i="8" s="1"/>
  <c r="AL35" i="8"/>
  <c r="AL70" i="8" s="1"/>
  <c r="N144" i="10"/>
  <c r="H630" i="10" s="1"/>
  <c r="I630" i="10" s="1"/>
  <c r="AL31" i="8"/>
  <c r="AL66" i="8" s="1"/>
  <c r="N131" i="10"/>
  <c r="M583" i="10" s="1"/>
  <c r="AL18" i="8"/>
  <c r="AL53" i="8" s="1"/>
  <c r="N138" i="10"/>
  <c r="G624" i="10" s="1"/>
  <c r="AL25" i="8"/>
  <c r="AL60" i="8" s="1"/>
  <c r="B670" i="10"/>
  <c r="B668" i="10"/>
  <c r="B674" i="10"/>
  <c r="N117" i="10"/>
  <c r="P117" i="10" s="1"/>
  <c r="CD117" i="10" s="1"/>
  <c r="AL4" i="8"/>
  <c r="AL39" i="8" s="1"/>
  <c r="B667" i="10"/>
  <c r="I6" i="8"/>
  <c r="I27" i="8"/>
  <c r="I18" i="8"/>
  <c r="I23" i="8"/>
  <c r="I15" i="8"/>
  <c r="I7" i="8"/>
  <c r="N137" i="10"/>
  <c r="AA623" i="10" s="1"/>
  <c r="AL24" i="8"/>
  <c r="AL59" i="8" s="1"/>
  <c r="N141" i="10"/>
  <c r="AI141" i="10" s="1"/>
  <c r="AL28" i="8"/>
  <c r="AL63" i="8" s="1"/>
  <c r="N123" i="10"/>
  <c r="G609" i="10" s="1"/>
  <c r="AL10" i="8"/>
  <c r="AL45" i="8" s="1"/>
  <c r="N124" i="10"/>
  <c r="H576" i="10" s="1"/>
  <c r="I576" i="10" s="1"/>
  <c r="AL11" i="8"/>
  <c r="AL46" i="8" s="1"/>
  <c r="N140" i="10"/>
  <c r="G592" i="10" s="1"/>
  <c r="AL27" i="8"/>
  <c r="AL62" i="8" s="1"/>
  <c r="N145" i="10"/>
  <c r="AM32" i="8" s="1"/>
  <c r="AM67" i="8" s="1"/>
  <c r="AL32" i="8"/>
  <c r="AL67" i="8" s="1"/>
  <c r="N132" i="10"/>
  <c r="S132" i="10" s="1"/>
  <c r="AL19" i="8"/>
  <c r="AL54" i="8" s="1"/>
  <c r="B672" i="10"/>
  <c r="B669" i="10"/>
  <c r="J344" i="10"/>
  <c r="B673" i="10"/>
  <c r="N118" i="10"/>
  <c r="G570" i="10" s="1"/>
  <c r="AL5" i="8"/>
  <c r="AL40" i="8" s="1"/>
  <c r="I30" i="8"/>
  <c r="N127" i="10"/>
  <c r="H579" i="10" s="1"/>
  <c r="I579" i="10" s="1"/>
  <c r="J579" i="10" s="1"/>
  <c r="AL14" i="8"/>
  <c r="AL49" i="8" s="1"/>
  <c r="I26" i="8"/>
  <c r="I10" i="8"/>
  <c r="I31" i="8"/>
  <c r="I24" i="8"/>
  <c r="I16" i="8"/>
  <c r="I8" i="8"/>
  <c r="I29" i="8"/>
  <c r="I21" i="8"/>
  <c r="I13" i="8"/>
  <c r="I5" i="8"/>
  <c r="N121" i="10"/>
  <c r="G607" i="10" s="1"/>
  <c r="AL8" i="8"/>
  <c r="AL43" i="8" s="1"/>
  <c r="N129" i="10"/>
  <c r="H581" i="10" s="1"/>
  <c r="I581" i="10" s="1"/>
  <c r="J581" i="10" s="1"/>
  <c r="AL16" i="8"/>
  <c r="AL51" i="8" s="1"/>
  <c r="N122" i="10"/>
  <c r="AL9" i="8"/>
  <c r="AL44" i="8" s="1"/>
  <c r="N134" i="10"/>
  <c r="H586" i="10" s="1"/>
  <c r="I586" i="10" s="1"/>
  <c r="AL21" i="8"/>
  <c r="AL56" i="8" s="1"/>
  <c r="N120" i="10"/>
  <c r="AM7" i="8" s="1"/>
  <c r="AM42" i="8" s="1"/>
  <c r="AL7" i="8"/>
  <c r="AL42" i="8" s="1"/>
  <c r="N136" i="10"/>
  <c r="AM23" i="8" s="1"/>
  <c r="AM58" i="8" s="1"/>
  <c r="AL23" i="8"/>
  <c r="AL58" i="8" s="1"/>
  <c r="I548" i="10"/>
  <c r="J548" i="10" s="1"/>
  <c r="N147" i="10"/>
  <c r="S147" i="10" s="1"/>
  <c r="AL34" i="8"/>
  <c r="AL69" i="8" s="1"/>
  <c r="N126" i="10"/>
  <c r="AM13" i="8" s="1"/>
  <c r="AM48" i="8" s="1"/>
  <c r="AL13" i="8"/>
  <c r="AL48" i="8" s="1"/>
  <c r="N130" i="10"/>
  <c r="M582" i="10" s="1"/>
  <c r="AL17" i="8"/>
  <c r="AL52" i="8" s="1"/>
  <c r="H667" i="11"/>
  <c r="J667" i="11" s="1"/>
  <c r="H663" i="11"/>
  <c r="J663" i="11" s="1"/>
  <c r="H657" i="11"/>
  <c r="J657" i="11" s="1"/>
  <c r="H655" i="11"/>
  <c r="J655" i="11" s="1"/>
  <c r="H651" i="11"/>
  <c r="J651" i="11" s="1"/>
  <c r="H670" i="11"/>
  <c r="H666" i="11"/>
  <c r="J666" i="11" s="1"/>
  <c r="H662" i="11"/>
  <c r="J662" i="11" s="1"/>
  <c r="H659" i="11"/>
  <c r="J659" i="11" s="1"/>
  <c r="H654" i="11"/>
  <c r="J654" i="11" s="1"/>
  <c r="H650" i="11"/>
  <c r="J650" i="11" s="1"/>
  <c r="H669" i="11"/>
  <c r="J669" i="11" s="1"/>
  <c r="H665" i="11"/>
  <c r="J665" i="11" s="1"/>
  <c r="H661" i="11"/>
  <c r="J661" i="11" s="1"/>
  <c r="H656" i="11"/>
  <c r="J656" i="11" s="1"/>
  <c r="H653" i="11"/>
  <c r="J653" i="11" s="1"/>
  <c r="H649" i="11"/>
  <c r="J649" i="11" s="1"/>
  <c r="H658" i="11"/>
  <c r="J658" i="11" s="1"/>
  <c r="H668" i="11"/>
  <c r="J668" i="11" s="1"/>
  <c r="H664" i="11"/>
  <c r="J664" i="11" s="1"/>
  <c r="H660" i="11"/>
  <c r="J660" i="11" s="1"/>
  <c r="H652" i="11"/>
  <c r="J652" i="11" s="1"/>
  <c r="V640" i="11"/>
  <c r="P323" i="11"/>
  <c r="M363" i="11" s="1"/>
  <c r="K359" i="11"/>
  <c r="CN135" i="11"/>
  <c r="CQ135" i="11" s="1"/>
  <c r="CP135" i="11"/>
  <c r="CM136" i="11"/>
  <c r="CO135" i="11"/>
  <c r="CR135" i="11" s="1"/>
  <c r="J670" i="11"/>
  <c r="K367" i="11"/>
  <c r="P324" i="11"/>
  <c r="P326" i="11" s="1"/>
  <c r="CJ135" i="11"/>
  <c r="CG136" i="11"/>
  <c r="CI135" i="11"/>
  <c r="CL135" i="11" s="1"/>
  <c r="CH135" i="11"/>
  <c r="CK135" i="11" s="1"/>
  <c r="K382" i="11"/>
  <c r="K374" i="11"/>
  <c r="A413" i="11"/>
  <c r="D412" i="11"/>
  <c r="J412" i="11"/>
  <c r="C412" i="11"/>
  <c r="B412" i="11"/>
  <c r="CJ112" i="11"/>
  <c r="CI112" i="11"/>
  <c r="CL112" i="11" s="1"/>
  <c r="CH112" i="11"/>
  <c r="CK112" i="11" s="1"/>
  <c r="A343" i="11"/>
  <c r="J342" i="11"/>
  <c r="F342" i="11"/>
  <c r="E342" i="11"/>
  <c r="D342" i="11"/>
  <c r="A415" i="10"/>
  <c r="J415" i="10" s="1"/>
  <c r="J414" i="10"/>
  <c r="J450" i="10"/>
  <c r="D414" i="10"/>
  <c r="C414" i="10"/>
  <c r="B414" i="10"/>
  <c r="B661" i="10"/>
  <c r="B662" i="10"/>
  <c r="B678" i="10"/>
  <c r="B664" i="10"/>
  <c r="B666" i="10"/>
  <c r="B675" i="10"/>
  <c r="B677" i="10"/>
  <c r="B671" i="10"/>
  <c r="B680" i="10"/>
  <c r="B663" i="10"/>
  <c r="F549" i="10"/>
  <c r="CN115" i="10"/>
  <c r="CP126" i="10" s="1"/>
  <c r="CM125" i="10"/>
  <c r="CN126" i="10"/>
  <c r="CO126" i="10"/>
  <c r="CM143" i="10"/>
  <c r="CN142" i="10"/>
  <c r="CO142" i="10"/>
  <c r="B676" i="10"/>
  <c r="A382" i="10"/>
  <c r="A388" i="10"/>
  <c r="A394" i="10"/>
  <c r="A383" i="10"/>
  <c r="A389" i="10"/>
  <c r="A395" i="10"/>
  <c r="A384" i="10"/>
  <c r="A390" i="10"/>
  <c r="A396" i="10"/>
  <c r="A385" i="10"/>
  <c r="A391" i="10"/>
  <c r="A380" i="10"/>
  <c r="A386" i="10"/>
  <c r="A392" i="10"/>
  <c r="A381" i="10"/>
  <c r="A387" i="10"/>
  <c r="A393" i="10"/>
  <c r="A369" i="10"/>
  <c r="A375" i="10"/>
  <c r="A370" i="10"/>
  <c r="A376" i="10"/>
  <c r="A371" i="10"/>
  <c r="A377" i="10"/>
  <c r="A378" i="10"/>
  <c r="A367" i="10"/>
  <c r="A373" i="10"/>
  <c r="A379" i="10"/>
  <c r="A374" i="10"/>
  <c r="A372" i="10"/>
  <c r="A368" i="10"/>
  <c r="A366" i="10"/>
  <c r="E344" i="10"/>
  <c r="F344" i="10"/>
  <c r="R127" i="10"/>
  <c r="B660" i="10"/>
  <c r="B679" i="10"/>
  <c r="B659" i="10"/>
  <c r="D656" i="10" s="1"/>
  <c r="F618" i="10"/>
  <c r="J345" i="10"/>
  <c r="F345" i="10"/>
  <c r="E345" i="10"/>
  <c r="AH131" i="10"/>
  <c r="F346" i="10"/>
  <c r="E346" i="10"/>
  <c r="AH130" i="10"/>
  <c r="AS117" i="10"/>
  <c r="AX117" i="10" s="1"/>
  <c r="BA117" i="10" s="1"/>
  <c r="AI117" i="10"/>
  <c r="F617" i="10"/>
  <c r="Z603" i="10"/>
  <c r="R124" i="10"/>
  <c r="F611" i="10"/>
  <c r="R133" i="10"/>
  <c r="F610" i="10"/>
  <c r="AH117" i="10"/>
  <c r="H595" i="10"/>
  <c r="I595" i="10" s="1"/>
  <c r="J595" i="10" s="1"/>
  <c r="L569" i="10"/>
  <c r="F614" i="10"/>
  <c r="R117" i="10"/>
  <c r="R135" i="10"/>
  <c r="G580" i="10"/>
  <c r="G587" i="10"/>
  <c r="AI134" i="10"/>
  <c r="CD116" i="10"/>
  <c r="M596" i="10"/>
  <c r="G595" i="10"/>
  <c r="G581" i="10"/>
  <c r="L598" i="10"/>
  <c r="L597" i="10"/>
  <c r="AI120" i="10"/>
  <c r="G620" i="10"/>
  <c r="F604" i="10"/>
  <c r="H588" i="10"/>
  <c r="I588" i="10" s="1"/>
  <c r="J588" i="10" s="1"/>
  <c r="M579" i="10"/>
  <c r="L587" i="10"/>
  <c r="H600" i="10"/>
  <c r="I600" i="10" s="1"/>
  <c r="J600" i="10" s="1"/>
  <c r="P141" i="10"/>
  <c r="CD141" i="10" s="1"/>
  <c r="F605" i="10"/>
  <c r="G604" i="10"/>
  <c r="S119" i="10"/>
  <c r="G605" i="10"/>
  <c r="AH118" i="10"/>
  <c r="AO118" i="10" s="1"/>
  <c r="AP118" i="10" s="1"/>
  <c r="AI138" i="10"/>
  <c r="S136" i="10"/>
  <c r="S128" i="10"/>
  <c r="CH116" i="10" s="1"/>
  <c r="G548" i="10" s="1"/>
  <c r="M571" i="10"/>
  <c r="AH143" i="10"/>
  <c r="R143" i="10"/>
  <c r="M588" i="10"/>
  <c r="M586" i="10"/>
  <c r="G600" i="10"/>
  <c r="S121" i="10"/>
  <c r="G615" i="10"/>
  <c r="P124" i="10"/>
  <c r="CD124" i="10" s="1"/>
  <c r="P143" i="10"/>
  <c r="CD143" i="10" s="1"/>
  <c r="G629" i="10"/>
  <c r="S130" i="10"/>
  <c r="S138" i="10"/>
  <c r="BR134" i="10" s="1"/>
  <c r="L595" i="10"/>
  <c r="L588" i="10"/>
  <c r="L586" i="10"/>
  <c r="L573" i="10"/>
  <c r="G571" i="10"/>
  <c r="H571" i="10"/>
  <c r="I571" i="10" s="1"/>
  <c r="J571" i="10" s="1"/>
  <c r="L594" i="10"/>
  <c r="L581" i="10"/>
  <c r="L571" i="10"/>
  <c r="CJ147" i="10"/>
  <c r="CJ137" i="10"/>
  <c r="CJ135" i="10"/>
  <c r="CJ138" i="10"/>
  <c r="CJ133" i="10"/>
  <c r="CJ136" i="10"/>
  <c r="CJ134" i="10"/>
  <c r="CJ121" i="10"/>
  <c r="CJ139" i="10"/>
  <c r="CJ132" i="10"/>
  <c r="CJ140" i="10"/>
  <c r="CJ131" i="10"/>
  <c r="CG142" i="10"/>
  <c r="CI141" i="10"/>
  <c r="CH141" i="10"/>
  <c r="CJ141" i="10"/>
  <c r="F613" i="10"/>
  <c r="S143" i="10"/>
  <c r="S142" i="10"/>
  <c r="CJ130" i="10"/>
  <c r="CG129" i="10"/>
  <c r="CJ129" i="10" s="1"/>
  <c r="CH130" i="10"/>
  <c r="CI130" i="10"/>
  <c r="L602" i="10"/>
  <c r="H621" i="10"/>
  <c r="I621" i="10" s="1"/>
  <c r="P135" i="10"/>
  <c r="CD135" i="10" s="1"/>
  <c r="AS120" i="10"/>
  <c r="AX120" i="10" s="1"/>
  <c r="BA120" i="10" s="1"/>
  <c r="F634" i="10"/>
  <c r="Z606" i="10"/>
  <c r="H629" i="10"/>
  <c r="I629" i="10" s="1"/>
  <c r="AU140" i="10"/>
  <c r="F619" i="10"/>
  <c r="AI143" i="10"/>
  <c r="F620" i="10"/>
  <c r="AA606" i="10"/>
  <c r="AM128" i="10"/>
  <c r="AN128" i="10" s="1"/>
  <c r="J346" i="10"/>
  <c r="AA630" i="10"/>
  <c r="AI144" i="10"/>
  <c r="P666" i="10"/>
  <c r="AA614" i="10"/>
  <c r="I549" i="10"/>
  <c r="P127" i="10"/>
  <c r="CD127" i="10" s="1"/>
  <c r="AH140" i="10"/>
  <c r="R140" i="10"/>
  <c r="F626" i="10"/>
  <c r="AA616" i="10"/>
  <c r="R145" i="10"/>
  <c r="AH145" i="10"/>
  <c r="F631" i="10"/>
  <c r="AH142" i="10"/>
  <c r="R142" i="10"/>
  <c r="F628" i="10"/>
  <c r="F629" i="10"/>
  <c r="R132" i="10"/>
  <c r="AH132" i="10"/>
  <c r="P128" i="10"/>
  <c r="CD128" i="10" s="1"/>
  <c r="AS142" i="10"/>
  <c r="AX142" i="10" s="1"/>
  <c r="BA142" i="10" s="1"/>
  <c r="AH148" i="10"/>
  <c r="AI146" i="10"/>
  <c r="AO128" i="10"/>
  <c r="AP128" i="10" s="1"/>
  <c r="H622" i="10"/>
  <c r="I622" i="10" s="1"/>
  <c r="AA622" i="10"/>
  <c r="P130" i="10"/>
  <c r="CD130" i="10" s="1"/>
  <c r="P129" i="10"/>
  <c r="CD129" i="10" s="1"/>
  <c r="F623" i="10"/>
  <c r="R137" i="10"/>
  <c r="AH137" i="10"/>
  <c r="AH136" i="10"/>
  <c r="R136" i="10"/>
  <c r="F622" i="10"/>
  <c r="AA605" i="10"/>
  <c r="AI119" i="10"/>
  <c r="P119" i="10"/>
  <c r="CD119" i="10" s="1"/>
  <c r="F633" i="10"/>
  <c r="R147" i="10"/>
  <c r="AH147" i="10"/>
  <c r="R126" i="10"/>
  <c r="AH126" i="10"/>
  <c r="AO127" i="10" s="1"/>
  <c r="AP127" i="10" s="1"/>
  <c r="F612" i="10"/>
  <c r="AH138" i="10"/>
  <c r="R138" i="10"/>
  <c r="F624" i="10"/>
  <c r="AS122" i="10"/>
  <c r="AX122" i="10" s="1"/>
  <c r="BA122" i="10" s="1"/>
  <c r="P122" i="10"/>
  <c r="CD122" i="10" s="1"/>
  <c r="R134" i="10"/>
  <c r="AH134" i="10"/>
  <c r="AO135" i="10" s="1"/>
  <c r="AP135" i="10" s="1"/>
  <c r="F621" i="10"/>
  <c r="R120" i="10"/>
  <c r="AH120" i="10"/>
  <c r="F606" i="10"/>
  <c r="H614" i="10"/>
  <c r="I614" i="10" s="1"/>
  <c r="H615" i="10"/>
  <c r="I615" i="10" s="1"/>
  <c r="Z631" i="10"/>
  <c r="R121" i="10"/>
  <c r="AH121" i="10"/>
  <c r="F607" i="10"/>
  <c r="AH122" i="10"/>
  <c r="R122" i="10"/>
  <c r="F608" i="10"/>
  <c r="AH125" i="10"/>
  <c r="R125" i="10"/>
  <c r="P136" i="10"/>
  <c r="CD136" i="10" s="1"/>
  <c r="AH146" i="10"/>
  <c r="R146" i="10"/>
  <c r="F632" i="10"/>
  <c r="AI121" i="10"/>
  <c r="F625" i="10"/>
  <c r="AH139" i="10"/>
  <c r="R139" i="10"/>
  <c r="P147" i="10"/>
  <c r="CD147" i="10" s="1"/>
  <c r="AI147" i="10"/>
  <c r="P145" i="10"/>
  <c r="CD145" i="10" s="1"/>
  <c r="F616" i="10"/>
  <c r="AH129" i="10"/>
  <c r="R129" i="10"/>
  <c r="F627" i="10"/>
  <c r="R141" i="10"/>
  <c r="AH141" i="10"/>
  <c r="F609" i="10"/>
  <c r="R123" i="10"/>
  <c r="AH123" i="10"/>
  <c r="AA604" i="10"/>
  <c r="AI118" i="10"/>
  <c r="R144" i="10"/>
  <c r="AH144" i="10"/>
  <c r="F630" i="10"/>
  <c r="AM117" i="10"/>
  <c r="AO117" i="10"/>
  <c r="AP117" i="10" s="1"/>
  <c r="F3" i="7"/>
  <c r="F5" i="7" s="1"/>
  <c r="N353" i="16" l="1"/>
  <c r="O353" i="16" s="1"/>
  <c r="B339" i="16"/>
  <c r="K338" i="16"/>
  <c r="L338" i="16" s="1"/>
  <c r="N326" i="16" s="1"/>
  <c r="H585" i="10"/>
  <c r="I585" i="10" s="1"/>
  <c r="J585" i="10" s="1"/>
  <c r="S123" i="10"/>
  <c r="M585" i="10"/>
  <c r="AA611" i="10"/>
  <c r="AI139" i="10"/>
  <c r="M575" i="10"/>
  <c r="G617" i="10"/>
  <c r="H627" i="10"/>
  <c r="I627" i="10" s="1"/>
  <c r="K627" i="10" s="1"/>
  <c r="AI129" i="10"/>
  <c r="H623" i="10"/>
  <c r="I623" i="10" s="1"/>
  <c r="J623" i="10" s="1"/>
  <c r="P139" i="10"/>
  <c r="CD139" i="10" s="1"/>
  <c r="S133" i="10"/>
  <c r="G586" i="10"/>
  <c r="K586" i="10" s="1"/>
  <c r="S129" i="10"/>
  <c r="L589" i="10"/>
  <c r="H569" i="10"/>
  <c r="I569" i="10" s="1"/>
  <c r="J569" i="10" s="1"/>
  <c r="G611" i="10"/>
  <c r="G622" i="10"/>
  <c r="K622" i="10" s="1"/>
  <c r="P134" i="10"/>
  <c r="CD134" i="10" s="1"/>
  <c r="M569" i="10"/>
  <c r="S137" i="10"/>
  <c r="H603" i="10"/>
  <c r="I603" i="10" s="1"/>
  <c r="J603" i="10" s="1"/>
  <c r="AA603" i="10"/>
  <c r="AA612" i="10"/>
  <c r="AI137" i="10"/>
  <c r="AK138" i="10" s="1"/>
  <c r="H626" i="10"/>
  <c r="I626" i="10" s="1"/>
  <c r="G618" i="10"/>
  <c r="P123" i="10"/>
  <c r="CD123" i="10" s="1"/>
  <c r="AI140" i="10"/>
  <c r="AK141" i="10" s="1"/>
  <c r="G625" i="10"/>
  <c r="S117" i="10"/>
  <c r="L592" i="10"/>
  <c r="G588" i="10"/>
  <c r="AI136" i="10"/>
  <c r="G612" i="10"/>
  <c r="G569" i="10"/>
  <c r="Z612" i="10"/>
  <c r="H624" i="10"/>
  <c r="I624" i="10" s="1"/>
  <c r="J624" i="10" s="1"/>
  <c r="P125" i="10"/>
  <c r="CD125" i="10" s="1"/>
  <c r="P137" i="10"/>
  <c r="CD137" i="10" s="1"/>
  <c r="AS137" i="10"/>
  <c r="AX137" i="10" s="1"/>
  <c r="BA137" i="10" s="1"/>
  <c r="AS124" i="10"/>
  <c r="AX124" i="10" s="1"/>
  <c r="BA124" i="10" s="1"/>
  <c r="P132" i="10"/>
  <c r="CD132" i="10" s="1"/>
  <c r="AS133" i="10"/>
  <c r="AX133" i="10" s="1"/>
  <c r="BA133" i="10" s="1"/>
  <c r="AA619" i="10"/>
  <c r="H625" i="10"/>
  <c r="I625" i="10" s="1"/>
  <c r="J625" i="10" s="1"/>
  <c r="P133" i="10"/>
  <c r="CD133" i="10" s="1"/>
  <c r="AI133" i="10"/>
  <c r="AK134" i="10" s="1"/>
  <c r="AL134" i="10" s="1"/>
  <c r="P148" i="10"/>
  <c r="CD148" i="10" s="1"/>
  <c r="S126" i="10"/>
  <c r="L600" i="10"/>
  <c r="M584" i="10"/>
  <c r="H577" i="10"/>
  <c r="I577" i="10" s="1"/>
  <c r="J577" i="10" s="1"/>
  <c r="G583" i="10"/>
  <c r="K583" i="10" s="1"/>
  <c r="S139" i="10"/>
  <c r="M577" i="10"/>
  <c r="S131" i="10"/>
  <c r="L577" i="10"/>
  <c r="AI132" i="10"/>
  <c r="S125" i="10"/>
  <c r="P126" i="10"/>
  <c r="CD126" i="10" s="1"/>
  <c r="M591" i="10"/>
  <c r="H612" i="10"/>
  <c r="I612" i="10" s="1"/>
  <c r="AA617" i="10"/>
  <c r="AI125" i="10"/>
  <c r="Z623" i="10"/>
  <c r="P131" i="10"/>
  <c r="CD131" i="10" s="1"/>
  <c r="Z620" i="10"/>
  <c r="H591" i="10"/>
  <c r="I591" i="10" s="1"/>
  <c r="J591" i="10" s="1"/>
  <c r="L584" i="10"/>
  <c r="H583" i="10"/>
  <c r="I583" i="10" s="1"/>
  <c r="J583" i="10" s="1"/>
  <c r="H575" i="10"/>
  <c r="I575" i="10" s="1"/>
  <c r="J575" i="10" s="1"/>
  <c r="H584" i="10"/>
  <c r="I584" i="10" s="1"/>
  <c r="J584" i="10" s="1"/>
  <c r="H592" i="10"/>
  <c r="I592" i="10" s="1"/>
  <c r="J592" i="10" s="1"/>
  <c r="G626" i="10"/>
  <c r="L585" i="10"/>
  <c r="G585" i="10"/>
  <c r="G634" i="10"/>
  <c r="G589" i="10"/>
  <c r="M589" i="10"/>
  <c r="AS126" i="10"/>
  <c r="AX126" i="10" s="1"/>
  <c r="BA126" i="10" s="1"/>
  <c r="AS138" i="10"/>
  <c r="AX138" i="10" s="1"/>
  <c r="BA138" i="10" s="1"/>
  <c r="H619" i="10"/>
  <c r="I619" i="10" s="1"/>
  <c r="Z619" i="10"/>
  <c r="Z626" i="10"/>
  <c r="AI131" i="10"/>
  <c r="AK132" i="10" s="1"/>
  <c r="AL132" i="10" s="1"/>
  <c r="AA620" i="10"/>
  <c r="H589" i="10"/>
  <c r="I589" i="10" s="1"/>
  <c r="J589" i="10" s="1"/>
  <c r="AS132" i="10"/>
  <c r="AX132" i="10" s="1"/>
  <c r="BA132" i="10" s="1"/>
  <c r="AI126" i="10"/>
  <c r="AA626" i="10"/>
  <c r="AA624" i="10"/>
  <c r="AI123" i="10"/>
  <c r="H618" i="10"/>
  <c r="I618" i="10" s="1"/>
  <c r="J618" i="10" s="1"/>
  <c r="Z618" i="10"/>
  <c r="AA618" i="10"/>
  <c r="AS140" i="10"/>
  <c r="AX140" i="10" s="1"/>
  <c r="BA140" i="10" s="1"/>
  <c r="H620" i="10"/>
  <c r="I620" i="10" s="1"/>
  <c r="J620" i="10" s="1"/>
  <c r="S140" i="10"/>
  <c r="M578" i="10"/>
  <c r="L578" i="10"/>
  <c r="G577" i="10"/>
  <c r="M600" i="10"/>
  <c r="H578" i="10"/>
  <c r="I578" i="10" s="1"/>
  <c r="J578" i="10" s="1"/>
  <c r="S148" i="10"/>
  <c r="P140" i="10"/>
  <c r="CD140" i="10" s="1"/>
  <c r="L575" i="10"/>
  <c r="G578" i="10"/>
  <c r="AI148" i="10"/>
  <c r="AK148" i="10" s="1"/>
  <c r="AL148" i="10" s="1"/>
  <c r="AA609" i="10"/>
  <c r="M385" i="11"/>
  <c r="M383" i="11"/>
  <c r="M337" i="11"/>
  <c r="H608" i="10"/>
  <c r="I608" i="10" s="1"/>
  <c r="J608" i="10" s="1"/>
  <c r="AI122" i="10"/>
  <c r="Z613" i="10"/>
  <c r="AS123" i="10"/>
  <c r="AX123" i="10" s="1"/>
  <c r="BA123" i="10" s="1"/>
  <c r="H607" i="10"/>
  <c r="I607" i="10" s="1"/>
  <c r="J607" i="10" s="1"/>
  <c r="L579" i="10"/>
  <c r="S127" i="10"/>
  <c r="G574" i="10"/>
  <c r="H574" i="10"/>
  <c r="I574" i="10" s="1"/>
  <c r="J574" i="10" s="1"/>
  <c r="S122" i="10"/>
  <c r="G572" i="10"/>
  <c r="M364" i="11"/>
  <c r="M361" i="11"/>
  <c r="M360" i="11"/>
  <c r="M336" i="11"/>
  <c r="P121" i="10"/>
  <c r="CD121" i="10" s="1"/>
  <c r="AA608" i="10"/>
  <c r="AA613" i="10"/>
  <c r="Z609" i="10"/>
  <c r="H609" i="10"/>
  <c r="I609" i="10" s="1"/>
  <c r="J609" i="10" s="1"/>
  <c r="AA607" i="10"/>
  <c r="H606" i="10"/>
  <c r="I606" i="10" s="1"/>
  <c r="S120" i="10"/>
  <c r="L572" i="10"/>
  <c r="M574" i="10"/>
  <c r="G579" i="10"/>
  <c r="H573" i="10"/>
  <c r="I573" i="10" s="1"/>
  <c r="J573" i="10" s="1"/>
  <c r="L574" i="10"/>
  <c r="G573" i="10"/>
  <c r="M366" i="11"/>
  <c r="M386" i="11"/>
  <c r="AS121" i="10"/>
  <c r="AX121" i="10" s="1"/>
  <c r="BA121" i="10" s="1"/>
  <c r="Z608" i="10"/>
  <c r="H613" i="10"/>
  <c r="I613" i="10" s="1"/>
  <c r="AS127" i="10"/>
  <c r="AX127" i="10" s="1"/>
  <c r="BA127" i="10" s="1"/>
  <c r="AI127" i="10"/>
  <c r="Z607" i="10"/>
  <c r="P120" i="10"/>
  <c r="CD120" i="10" s="1"/>
  <c r="M572" i="10"/>
  <c r="H572" i="10"/>
  <c r="I572" i="10" s="1"/>
  <c r="J572" i="10" s="1"/>
  <c r="G606" i="10"/>
  <c r="K606" i="10" s="1"/>
  <c r="M373" i="11"/>
  <c r="M335" i="11"/>
  <c r="M372" i="11"/>
  <c r="M341" i="11"/>
  <c r="Z621" i="10"/>
  <c r="AS118" i="10"/>
  <c r="AX118" i="10" s="1"/>
  <c r="BA118" i="10" s="1"/>
  <c r="Z604" i="10"/>
  <c r="AI145" i="10"/>
  <c r="AK146" i="10" s="1"/>
  <c r="H610" i="10"/>
  <c r="I610" i="10" s="1"/>
  <c r="AS131" i="10"/>
  <c r="AX131" i="10" s="1"/>
  <c r="BA131" i="10" s="1"/>
  <c r="Z605" i="10"/>
  <c r="Z610" i="10"/>
  <c r="AS141" i="10"/>
  <c r="AX141" i="10" s="1"/>
  <c r="BA141" i="10" s="1"/>
  <c r="H632" i="10"/>
  <c r="I632" i="10" s="1"/>
  <c r="H628" i="10"/>
  <c r="I628" i="10" s="1"/>
  <c r="J628" i="10" s="1"/>
  <c r="AS129" i="10"/>
  <c r="AX129" i="10" s="1"/>
  <c r="BA129" i="10" s="1"/>
  <c r="AS130" i="10"/>
  <c r="AX130" i="10" s="1"/>
  <c r="BA130" i="10" s="1"/>
  <c r="AI130" i="10"/>
  <c r="AS125" i="10"/>
  <c r="AX125" i="10" s="1"/>
  <c r="BA125" i="10" s="1"/>
  <c r="AS128" i="10"/>
  <c r="AX128" i="10" s="1"/>
  <c r="BA128" i="10" s="1"/>
  <c r="Z630" i="10"/>
  <c r="AS144" i="10"/>
  <c r="AX144" i="10" s="1"/>
  <c r="BA144" i="10" s="1"/>
  <c r="Z633" i="10"/>
  <c r="AS148" i="10"/>
  <c r="AX148" i="10" s="1"/>
  <c r="BA148" i="10" s="1"/>
  <c r="Z632" i="10"/>
  <c r="P138" i="10"/>
  <c r="CD138" i="10" s="1"/>
  <c r="P142" i="10"/>
  <c r="CD142" i="10" s="1"/>
  <c r="Z615" i="10"/>
  <c r="AA628" i="10"/>
  <c r="AS135" i="10"/>
  <c r="AX135" i="10" s="1"/>
  <c r="BA135" i="10" s="1"/>
  <c r="AA621" i="10"/>
  <c r="M587" i="10"/>
  <c r="H590" i="10"/>
  <c r="I590" i="10" s="1"/>
  <c r="J590" i="10" s="1"/>
  <c r="L570" i="10"/>
  <c r="G621" i="10"/>
  <c r="K621" i="10" s="1"/>
  <c r="G630" i="10"/>
  <c r="K630" i="10" s="1"/>
  <c r="M598" i="10"/>
  <c r="M594" i="10"/>
  <c r="G599" i="10"/>
  <c r="H599" i="10"/>
  <c r="I599" i="10" s="1"/>
  <c r="J599" i="10" s="1"/>
  <c r="S124" i="10"/>
  <c r="S118" i="10"/>
  <c r="H580" i="10"/>
  <c r="I580" i="10" s="1"/>
  <c r="K580" i="10" s="1"/>
  <c r="G628" i="10"/>
  <c r="H597" i="10"/>
  <c r="I597" i="10" s="1"/>
  <c r="J597" i="10" s="1"/>
  <c r="P118" i="10"/>
  <c r="CD118" i="10" s="1"/>
  <c r="H604" i="10"/>
  <c r="I604" i="10" s="1"/>
  <c r="J604" i="10" s="1"/>
  <c r="AA625" i="10"/>
  <c r="H617" i="10"/>
  <c r="I617" i="10" s="1"/>
  <c r="K617" i="10" s="1"/>
  <c r="H605" i="10"/>
  <c r="I605" i="10" s="1"/>
  <c r="J605" i="10" s="1"/>
  <c r="AS119" i="10"/>
  <c r="AX119" i="10" s="1"/>
  <c r="BA119" i="10" s="1"/>
  <c r="AS136" i="10"/>
  <c r="AX136" i="10" s="1"/>
  <c r="BA136" i="10" s="1"/>
  <c r="Z627" i="10"/>
  <c r="H633" i="10"/>
  <c r="I633" i="10" s="1"/>
  <c r="Z614" i="10"/>
  <c r="AS147" i="10"/>
  <c r="AX147" i="10" s="1"/>
  <c r="BA147" i="10" s="1"/>
  <c r="Z616" i="10"/>
  <c r="Z611" i="10"/>
  <c r="H631" i="10"/>
  <c r="I631" i="10" s="1"/>
  <c r="P144" i="10"/>
  <c r="CD144" i="10" s="1"/>
  <c r="AS145" i="10"/>
  <c r="AX145" i="10" s="1"/>
  <c r="BA145" i="10" s="1"/>
  <c r="AA633" i="10"/>
  <c r="AA634" i="10"/>
  <c r="Z625" i="10"/>
  <c r="AS139" i="10"/>
  <c r="AX139" i="10" s="1"/>
  <c r="BA139" i="10" s="1"/>
  <c r="AA629" i="10"/>
  <c r="Z617" i="10"/>
  <c r="Z628" i="10"/>
  <c r="AA615" i="10"/>
  <c r="AA627" i="10"/>
  <c r="Z634" i="10"/>
  <c r="AI135" i="10"/>
  <c r="AK135" i="10" s="1"/>
  <c r="AL135" i="10" s="1"/>
  <c r="S141" i="10"/>
  <c r="L580" i="10"/>
  <c r="H582" i="10"/>
  <c r="I582" i="10" s="1"/>
  <c r="J582" i="10" s="1"/>
  <c r="H596" i="10"/>
  <c r="I596" i="10" s="1"/>
  <c r="J596" i="10" s="1"/>
  <c r="S135" i="10"/>
  <c r="S144" i="10"/>
  <c r="L590" i="10"/>
  <c r="M570" i="10"/>
  <c r="L593" i="10"/>
  <c r="G633" i="10"/>
  <c r="G632" i="10"/>
  <c r="G576" i="10"/>
  <c r="K576" i="10" s="1"/>
  <c r="L596" i="10"/>
  <c r="AI142" i="10"/>
  <c r="AK143" i="10" s="1"/>
  <c r="M597" i="10"/>
  <c r="G631" i="10"/>
  <c r="M593" i="10"/>
  <c r="Z624" i="10"/>
  <c r="H616" i="10"/>
  <c r="I616" i="10" s="1"/>
  <c r="J616" i="10" s="1"/>
  <c r="H611" i="10"/>
  <c r="I611" i="10" s="1"/>
  <c r="J611" i="10" s="1"/>
  <c r="AA610" i="10"/>
  <c r="AA631" i="10"/>
  <c r="AA632" i="10"/>
  <c r="H634" i="10"/>
  <c r="I634" i="10" s="1"/>
  <c r="K634" i="10" s="1"/>
  <c r="AS146" i="10"/>
  <c r="AX146" i="10" s="1"/>
  <c r="BA146" i="10" s="1"/>
  <c r="AS143" i="10"/>
  <c r="AX143" i="10" s="1"/>
  <c r="BA143" i="10" s="1"/>
  <c r="AI128" i="10"/>
  <c r="AK129" i="10" s="1"/>
  <c r="AI124" i="10"/>
  <c r="AK124" i="10" s="1"/>
  <c r="AL124" i="10" s="1"/>
  <c r="Z622" i="10"/>
  <c r="S146" i="10"/>
  <c r="Z629" i="10"/>
  <c r="G590" i="10"/>
  <c r="G594" i="10"/>
  <c r="H593" i="10"/>
  <c r="I593" i="10" s="1"/>
  <c r="J593" i="10" s="1"/>
  <c r="M599" i="10"/>
  <c r="G616" i="10"/>
  <c r="G610" i="10"/>
  <c r="G582" i="10"/>
  <c r="P146" i="10"/>
  <c r="CD146" i="10" s="1"/>
  <c r="G627" i="10"/>
  <c r="H594" i="10"/>
  <c r="I594" i="10" s="1"/>
  <c r="J594" i="10" s="1"/>
  <c r="M576" i="10"/>
  <c r="G597" i="10"/>
  <c r="S145" i="10"/>
  <c r="G608" i="10"/>
  <c r="AM9" i="8"/>
  <c r="AM44" i="8" s="1"/>
  <c r="M573" i="10"/>
  <c r="AM8" i="8"/>
  <c r="AM43" i="8" s="1"/>
  <c r="G613" i="10"/>
  <c r="K613" i="10" s="1"/>
  <c r="AM14" i="8"/>
  <c r="AM49" i="8" s="1"/>
  <c r="G584" i="10"/>
  <c r="K584" i="10" s="1"/>
  <c r="AM19" i="8"/>
  <c r="AM54" i="8" s="1"/>
  <c r="M592" i="10"/>
  <c r="AM27" i="8"/>
  <c r="AM62" i="8" s="1"/>
  <c r="G575" i="10"/>
  <c r="AM10" i="8"/>
  <c r="AM45" i="8" s="1"/>
  <c r="G623" i="10"/>
  <c r="AM24" i="8"/>
  <c r="AM59" i="8" s="1"/>
  <c r="L583" i="10"/>
  <c r="AM18" i="8"/>
  <c r="AM53" i="8" s="1"/>
  <c r="G619" i="10"/>
  <c r="K619" i="10" s="1"/>
  <c r="AM20" i="8"/>
  <c r="AM55" i="8" s="1"/>
  <c r="L591" i="10"/>
  <c r="AM26" i="8"/>
  <c r="AM61" i="8" s="1"/>
  <c r="S134" i="10"/>
  <c r="AM21" i="8"/>
  <c r="AM56" i="8" s="1"/>
  <c r="M581" i="10"/>
  <c r="AM16" i="8"/>
  <c r="AM51" i="8" s="1"/>
  <c r="G603" i="10"/>
  <c r="AM4" i="8"/>
  <c r="AM39" i="8" s="1"/>
  <c r="L582" i="10"/>
  <c r="AM17" i="8"/>
  <c r="AM52" i="8" s="1"/>
  <c r="L599" i="10"/>
  <c r="AM34" i="8"/>
  <c r="AM69" i="8" s="1"/>
  <c r="H570" i="10"/>
  <c r="I570" i="10" s="1"/>
  <c r="J570" i="10" s="1"/>
  <c r="AM5" i="8"/>
  <c r="AM40" i="8" s="1"/>
  <c r="L576" i="10"/>
  <c r="AM11" i="8"/>
  <c r="AM46" i="8" s="1"/>
  <c r="G593" i="10"/>
  <c r="AM28" i="8"/>
  <c r="AM63" i="8" s="1"/>
  <c r="M590" i="10"/>
  <c r="AM25" i="8"/>
  <c r="AM60" i="8" s="1"/>
  <c r="G596" i="10"/>
  <c r="AM31" i="8"/>
  <c r="AM66" i="8" s="1"/>
  <c r="H598" i="10"/>
  <c r="I598" i="10" s="1"/>
  <c r="J598" i="10" s="1"/>
  <c r="AM33" i="8"/>
  <c r="AM68" i="8" s="1"/>
  <c r="H587" i="10"/>
  <c r="I587" i="10" s="1"/>
  <c r="J587" i="10" s="1"/>
  <c r="AM22" i="8"/>
  <c r="AM57" i="8" s="1"/>
  <c r="G614" i="10"/>
  <c r="K614" i="10" s="1"/>
  <c r="AM15" i="8"/>
  <c r="AM50" i="8" s="1"/>
  <c r="P325" i="11"/>
  <c r="I375" i="11" s="1"/>
  <c r="M382" i="11"/>
  <c r="K381" i="11"/>
  <c r="CH136" i="11"/>
  <c r="CK136" i="11" s="1"/>
  <c r="CJ136" i="11"/>
  <c r="CI136" i="11"/>
  <c r="CL136" i="11" s="1"/>
  <c r="A344" i="11"/>
  <c r="J343" i="11"/>
  <c r="F343" i="11"/>
  <c r="E343" i="11"/>
  <c r="D343" i="11"/>
  <c r="A414" i="11"/>
  <c r="D413" i="11"/>
  <c r="C413" i="11"/>
  <c r="J413" i="11"/>
  <c r="B413" i="11"/>
  <c r="M657" i="11"/>
  <c r="P655" i="11" s="1"/>
  <c r="P657" i="11" s="1"/>
  <c r="P658" i="11" s="1"/>
  <c r="P659" i="11" s="1"/>
  <c r="L657" i="11"/>
  <c r="L649" i="11"/>
  <c r="K649" i="11"/>
  <c r="M342" i="11"/>
  <c r="K368" i="11"/>
  <c r="M367" i="11"/>
  <c r="M359" i="11"/>
  <c r="K358" i="11"/>
  <c r="M338" i="11"/>
  <c r="M370" i="11"/>
  <c r="M340" i="11"/>
  <c r="M339" i="11"/>
  <c r="M384" i="11"/>
  <c r="M378" i="11"/>
  <c r="M334" i="11"/>
  <c r="M355" i="11"/>
  <c r="M365" i="11"/>
  <c r="M362" i="11"/>
  <c r="K375" i="11"/>
  <c r="M374" i="11"/>
  <c r="P332" i="11"/>
  <c r="CP136" i="11"/>
  <c r="CO136" i="11"/>
  <c r="CR136" i="11" s="1"/>
  <c r="CN136" i="11"/>
  <c r="CQ136" i="11" s="1"/>
  <c r="M371" i="11"/>
  <c r="A416" i="10"/>
  <c r="D415" i="10"/>
  <c r="C415" i="10"/>
  <c r="B415" i="10"/>
  <c r="CP142" i="10"/>
  <c r="J374" i="10"/>
  <c r="E374" i="10"/>
  <c r="F374" i="10"/>
  <c r="J371" i="10"/>
  <c r="F371" i="10"/>
  <c r="E371" i="10"/>
  <c r="J387" i="10"/>
  <c r="E387" i="10"/>
  <c r="F387" i="10"/>
  <c r="J385" i="10"/>
  <c r="F385" i="10"/>
  <c r="E385" i="10"/>
  <c r="J383" i="10"/>
  <c r="E383" i="10"/>
  <c r="F383" i="10"/>
  <c r="J379" i="10"/>
  <c r="F379" i="10"/>
  <c r="E379" i="10"/>
  <c r="J376" i="10"/>
  <c r="E376" i="10"/>
  <c r="F376" i="10"/>
  <c r="J381" i="10"/>
  <c r="E381" i="10"/>
  <c r="F381" i="10"/>
  <c r="J396" i="10"/>
  <c r="F396" i="10"/>
  <c r="E396" i="10"/>
  <c r="J394" i="10"/>
  <c r="E394" i="10"/>
  <c r="F394" i="10"/>
  <c r="J373" i="10"/>
  <c r="F373" i="10"/>
  <c r="E373" i="10"/>
  <c r="J370" i="10"/>
  <c r="E370" i="10"/>
  <c r="F370" i="10"/>
  <c r="J392" i="10"/>
  <c r="F392" i="10"/>
  <c r="E392" i="10"/>
  <c r="J390" i="10"/>
  <c r="E390" i="10"/>
  <c r="F390" i="10"/>
  <c r="J388" i="10"/>
  <c r="E388" i="10"/>
  <c r="F388" i="10"/>
  <c r="CM124" i="10"/>
  <c r="CP125" i="10"/>
  <c r="CN125" i="10"/>
  <c r="CO125" i="10"/>
  <c r="J366" i="10"/>
  <c r="E366" i="10"/>
  <c r="F366" i="10"/>
  <c r="J367" i="10"/>
  <c r="F367" i="10"/>
  <c r="E367" i="10"/>
  <c r="J375" i="10"/>
  <c r="E375" i="10"/>
  <c r="F375" i="10"/>
  <c r="J386" i="10"/>
  <c r="F386" i="10"/>
  <c r="E386" i="10"/>
  <c r="J384" i="10"/>
  <c r="F384" i="10"/>
  <c r="E384" i="10"/>
  <c r="J382" i="10"/>
  <c r="E382" i="10"/>
  <c r="F382" i="10"/>
  <c r="CM144" i="10"/>
  <c r="CP143" i="10"/>
  <c r="CN143" i="10"/>
  <c r="CO143" i="10"/>
  <c r="J368" i="10"/>
  <c r="E368" i="10"/>
  <c r="F368" i="10"/>
  <c r="J378" i="10"/>
  <c r="F378" i="10"/>
  <c r="E378" i="10"/>
  <c r="J369" i="10"/>
  <c r="F369" i="10"/>
  <c r="E369" i="10"/>
  <c r="J380" i="10"/>
  <c r="E380" i="10"/>
  <c r="F380" i="10"/>
  <c r="J395" i="10"/>
  <c r="F395" i="10"/>
  <c r="E395" i="10"/>
  <c r="CP133" i="10"/>
  <c r="CP134" i="10"/>
  <c r="CP147" i="10"/>
  <c r="CP135" i="10"/>
  <c r="CP121" i="10"/>
  <c r="CP136" i="10"/>
  <c r="CP132" i="10"/>
  <c r="CP131" i="10"/>
  <c r="CP137" i="10"/>
  <c r="CP130" i="10"/>
  <c r="CP138" i="10"/>
  <c r="CP139" i="10"/>
  <c r="CP129" i="10"/>
  <c r="CP140" i="10"/>
  <c r="CP128" i="10"/>
  <c r="CP127" i="10"/>
  <c r="CP141" i="10"/>
  <c r="J372" i="10"/>
  <c r="E372" i="10"/>
  <c r="F372" i="10"/>
  <c r="J377" i="10"/>
  <c r="F377" i="10"/>
  <c r="E377" i="10"/>
  <c r="J393" i="10"/>
  <c r="E393" i="10"/>
  <c r="F393" i="10"/>
  <c r="J391" i="10"/>
  <c r="F391" i="10"/>
  <c r="E391" i="10"/>
  <c r="J389" i="10"/>
  <c r="F389" i="10"/>
  <c r="E389" i="10"/>
  <c r="AM131" i="10"/>
  <c r="AN131" i="10" s="1"/>
  <c r="AO131" i="10"/>
  <c r="AP131" i="10" s="1"/>
  <c r="K548" i="10"/>
  <c r="AM130" i="10"/>
  <c r="AN130" i="10" s="1"/>
  <c r="F347" i="10"/>
  <c r="E347" i="10"/>
  <c r="AK117" i="10"/>
  <c r="M603" i="10" s="1"/>
  <c r="K595" i="10"/>
  <c r="K579" i="10"/>
  <c r="K585" i="10"/>
  <c r="K591" i="10"/>
  <c r="K581" i="10"/>
  <c r="AM140" i="10"/>
  <c r="AN140" i="10" s="1"/>
  <c r="CL130" i="10"/>
  <c r="J586" i="10"/>
  <c r="K588" i="10"/>
  <c r="CK130" i="10"/>
  <c r="CL141" i="10"/>
  <c r="CK131" i="10"/>
  <c r="CL131" i="10"/>
  <c r="AO119" i="10"/>
  <c r="AP119" i="10" s="1"/>
  <c r="J576" i="10"/>
  <c r="AK118" i="10"/>
  <c r="AL118" i="10" s="1"/>
  <c r="K571" i="10"/>
  <c r="AM119" i="10"/>
  <c r="AN119" i="10" s="1"/>
  <c r="K600" i="10"/>
  <c r="AM118" i="10"/>
  <c r="AN118" i="10" s="1"/>
  <c r="AK128" i="10"/>
  <c r="AL128" i="10" s="1"/>
  <c r="CK134" i="10"/>
  <c r="CK147" i="10"/>
  <c r="CK135" i="10"/>
  <c r="CL133" i="10"/>
  <c r="CL121" i="10"/>
  <c r="CL134" i="10"/>
  <c r="CL147" i="10"/>
  <c r="CK137" i="10"/>
  <c r="CK121" i="10"/>
  <c r="CL139" i="10"/>
  <c r="CK136" i="10"/>
  <c r="CL138" i="10"/>
  <c r="CK133" i="10"/>
  <c r="CK138" i="10"/>
  <c r="CL137" i="10"/>
  <c r="CK139" i="10"/>
  <c r="CL136" i="10"/>
  <c r="CL135" i="10"/>
  <c r="CL132" i="10"/>
  <c r="CK132" i="10"/>
  <c r="CK140" i="10"/>
  <c r="CK141" i="10"/>
  <c r="CL140" i="10"/>
  <c r="CG143" i="10"/>
  <c r="CJ142" i="10"/>
  <c r="CI142" i="10"/>
  <c r="CL142" i="10" s="1"/>
  <c r="CH142" i="10"/>
  <c r="CK142" i="10" s="1"/>
  <c r="CG128" i="10"/>
  <c r="CJ128" i="10" s="1"/>
  <c r="CI129" i="10"/>
  <c r="CL129" i="10" s="1"/>
  <c r="CH129" i="10"/>
  <c r="CK129" i="10" s="1"/>
  <c r="Z131" i="10"/>
  <c r="AM134" i="10"/>
  <c r="AM126" i="10"/>
  <c r="AO134" i="10"/>
  <c r="AP134" i="10" s="1"/>
  <c r="AK121" i="10"/>
  <c r="AL121" i="10" s="1"/>
  <c r="AO130" i="10"/>
  <c r="AP130" i="10" s="1"/>
  <c r="AO123" i="10"/>
  <c r="AP123" i="10" s="1"/>
  <c r="AM138" i="10"/>
  <c r="AM127" i="10"/>
  <c r="AN127" i="10" s="1"/>
  <c r="AK120" i="10"/>
  <c r="L606" i="10" s="1"/>
  <c r="AO125" i="10"/>
  <c r="AP125" i="10" s="1"/>
  <c r="AM135" i="10"/>
  <c r="AK144" i="10"/>
  <c r="AL144" i="10" s="1"/>
  <c r="AM132" i="10"/>
  <c r="AN132" i="10" s="1"/>
  <c r="AO133" i="10"/>
  <c r="AP133" i="10" s="1"/>
  <c r="AK126" i="10"/>
  <c r="AM142" i="10"/>
  <c r="AO122" i="10"/>
  <c r="AP122" i="10" s="1"/>
  <c r="AK130" i="10"/>
  <c r="AO124" i="10"/>
  <c r="AP124" i="10" s="1"/>
  <c r="AO132" i="10"/>
  <c r="AP132" i="10" s="1"/>
  <c r="AK140" i="10"/>
  <c r="L626" i="10" s="1"/>
  <c r="AK125" i="10"/>
  <c r="AL125" i="10" s="1"/>
  <c r="AK139" i="10"/>
  <c r="AL139" i="10" s="1"/>
  <c r="AM133" i="10"/>
  <c r="AK147" i="10"/>
  <c r="AK137" i="10"/>
  <c r="N623" i="10" s="1"/>
  <c r="J347" i="10"/>
  <c r="AK119" i="10"/>
  <c r="AM122" i="10"/>
  <c r="AM124" i="10"/>
  <c r="AN124" i="10" s="1"/>
  <c r="AO142" i="10"/>
  <c r="AP142" i="10" s="1"/>
  <c r="AO141" i="10"/>
  <c r="AP141" i="10" s="1"/>
  <c r="AM141" i="10"/>
  <c r="AM129" i="10"/>
  <c r="AO129" i="10"/>
  <c r="AP129" i="10" s="1"/>
  <c r="AK122" i="10"/>
  <c r="AL122" i="10" s="1"/>
  <c r="AO136" i="10"/>
  <c r="AP136" i="10" s="1"/>
  <c r="AM136" i="10"/>
  <c r="AO126" i="10"/>
  <c r="AP126" i="10" s="1"/>
  <c r="AO145" i="10"/>
  <c r="AP145" i="10" s="1"/>
  <c r="AM145" i="10"/>
  <c r="AO140" i="10"/>
  <c r="AP140" i="10" s="1"/>
  <c r="K608" i="10"/>
  <c r="AM139" i="10"/>
  <c r="AK123" i="10"/>
  <c r="AO144" i="10"/>
  <c r="AP144" i="10" s="1"/>
  <c r="AM144" i="10"/>
  <c r="AM146" i="10"/>
  <c r="AO146" i="10"/>
  <c r="AP146" i="10" s="1"/>
  <c r="AM121" i="10"/>
  <c r="AO121" i="10"/>
  <c r="AP121" i="10" s="1"/>
  <c r="J612" i="10"/>
  <c r="K612" i="10"/>
  <c r="AO120" i="10"/>
  <c r="AP120" i="10" s="1"/>
  <c r="AM120" i="10"/>
  <c r="AO138" i="10"/>
  <c r="AP138" i="10" s="1"/>
  <c r="AO137" i="10"/>
  <c r="AP137" i="10" s="1"/>
  <c r="AM137" i="10"/>
  <c r="AO139" i="10"/>
  <c r="AP139" i="10" s="1"/>
  <c r="AO148" i="10"/>
  <c r="AP148" i="10" s="1"/>
  <c r="AM148" i="10"/>
  <c r="AM125" i="10"/>
  <c r="AM147" i="10"/>
  <c r="AO147" i="10"/>
  <c r="AP147" i="10" s="1"/>
  <c r="K605" i="10"/>
  <c r="AO143" i="10"/>
  <c r="AP143" i="10" s="1"/>
  <c r="AM143" i="10"/>
  <c r="AM123" i="10"/>
  <c r="J630" i="10"/>
  <c r="J610" i="10"/>
  <c r="J631" i="10"/>
  <c r="K624" i="10"/>
  <c r="K615" i="10"/>
  <c r="J615" i="10"/>
  <c r="J549" i="10"/>
  <c r="J619" i="10"/>
  <c r="K607" i="10"/>
  <c r="J621" i="10"/>
  <c r="AN117" i="10"/>
  <c r="J613" i="10"/>
  <c r="K611" i="10"/>
  <c r="J626" i="10"/>
  <c r="J622" i="10"/>
  <c r="J634" i="10"/>
  <c r="K629" i="10"/>
  <c r="J629" i="10"/>
  <c r="J632" i="10"/>
  <c r="J614" i="10"/>
  <c r="J606" i="10"/>
  <c r="AY49" i="5"/>
  <c r="AY50" i="5"/>
  <c r="AY51" i="5"/>
  <c r="AY52" i="5"/>
  <c r="AY53" i="5"/>
  <c r="AY54" i="5"/>
  <c r="AY55" i="5"/>
  <c r="AY56" i="5"/>
  <c r="AY57" i="5"/>
  <c r="AY58" i="5"/>
  <c r="AY59" i="5"/>
  <c r="AY60" i="5"/>
  <c r="AY61" i="5"/>
  <c r="AY62" i="5"/>
  <c r="AY63" i="5"/>
  <c r="AY64" i="5"/>
  <c r="AY65" i="5"/>
  <c r="AY66" i="5"/>
  <c r="AY67" i="5"/>
  <c r="AY68" i="5"/>
  <c r="AY69" i="5"/>
  <c r="AY70" i="5"/>
  <c r="AY71" i="5"/>
  <c r="AY72" i="5"/>
  <c r="AY73" i="5"/>
  <c r="AY36" i="5"/>
  <c r="AY37" i="5"/>
  <c r="AY38" i="5"/>
  <c r="AY39" i="5"/>
  <c r="AY40" i="5"/>
  <c r="AY41" i="5"/>
  <c r="AY42" i="5"/>
  <c r="AY43" i="5"/>
  <c r="AY44" i="5"/>
  <c r="AY45" i="5"/>
  <c r="AY46" i="5"/>
  <c r="AY47" i="5"/>
  <c r="AY48" i="5"/>
  <c r="BH10" i="5"/>
  <c r="AY35" i="5"/>
  <c r="C2" i="6"/>
  <c r="AJ36" i="5"/>
  <c r="AL35" i="5" s="1"/>
  <c r="J676" i="5"/>
  <c r="J675" i="5"/>
  <c r="J674" i="5"/>
  <c r="J673" i="5"/>
  <c r="J672" i="5"/>
  <c r="J671" i="5"/>
  <c r="J670" i="5"/>
  <c r="J669" i="5"/>
  <c r="J668" i="5"/>
  <c r="J667" i="5"/>
  <c r="J666" i="5"/>
  <c r="J665" i="5"/>
  <c r="J664" i="5"/>
  <c r="J663" i="5"/>
  <c r="J662" i="5"/>
  <c r="J661" i="5"/>
  <c r="J660" i="5"/>
  <c r="J659" i="5"/>
  <c r="J658" i="5"/>
  <c r="J657" i="5"/>
  <c r="J656" i="5"/>
  <c r="J655" i="5"/>
  <c r="J654" i="5"/>
  <c r="J653" i="5"/>
  <c r="J652" i="5"/>
  <c r="J651" i="5"/>
  <c r="J650" i="5"/>
  <c r="J649" i="5"/>
  <c r="J648" i="5"/>
  <c r="J647" i="5"/>
  <c r="J646" i="5"/>
  <c r="J645" i="5"/>
  <c r="J639" i="5"/>
  <c r="J638" i="5"/>
  <c r="J637" i="5"/>
  <c r="J636" i="5"/>
  <c r="J635" i="5"/>
  <c r="J634" i="5"/>
  <c r="J633" i="5"/>
  <c r="J632" i="5"/>
  <c r="J631" i="5"/>
  <c r="J630" i="5"/>
  <c r="J629" i="5"/>
  <c r="J628" i="5"/>
  <c r="J627" i="5"/>
  <c r="J626" i="5"/>
  <c r="J625" i="5"/>
  <c r="J624" i="5"/>
  <c r="J623" i="5"/>
  <c r="J622" i="5"/>
  <c r="J621" i="5"/>
  <c r="J620" i="5"/>
  <c r="J619" i="5"/>
  <c r="J618" i="5"/>
  <c r="J617" i="5"/>
  <c r="J616" i="5"/>
  <c r="J615" i="5"/>
  <c r="J614" i="5"/>
  <c r="J613" i="5"/>
  <c r="J612" i="5"/>
  <c r="J611" i="5"/>
  <c r="J610" i="5"/>
  <c r="J609" i="5"/>
  <c r="J608" i="5"/>
  <c r="J602" i="5"/>
  <c r="J601" i="5"/>
  <c r="J600" i="5"/>
  <c r="J599" i="5"/>
  <c r="J598" i="5"/>
  <c r="J597" i="5"/>
  <c r="J596" i="5"/>
  <c r="J595" i="5"/>
  <c r="J594" i="5"/>
  <c r="J593" i="5"/>
  <c r="J592" i="5"/>
  <c r="J591" i="5"/>
  <c r="J590" i="5"/>
  <c r="J589" i="5"/>
  <c r="J588" i="5"/>
  <c r="J587" i="5"/>
  <c r="J586" i="5"/>
  <c r="J585" i="5"/>
  <c r="J584" i="5"/>
  <c r="J583" i="5"/>
  <c r="J582" i="5"/>
  <c r="J581" i="5"/>
  <c r="J580" i="5"/>
  <c r="J579" i="5"/>
  <c r="J578" i="5"/>
  <c r="J577" i="5"/>
  <c r="J576" i="5"/>
  <c r="J575" i="5"/>
  <c r="J574" i="5"/>
  <c r="J573" i="5"/>
  <c r="J572" i="5"/>
  <c r="J571" i="5"/>
  <c r="AC569" i="5"/>
  <c r="J565" i="5"/>
  <c r="J564" i="5"/>
  <c r="J563" i="5"/>
  <c r="J562" i="5"/>
  <c r="J561" i="5"/>
  <c r="J560" i="5"/>
  <c r="J559" i="5"/>
  <c r="J558" i="5"/>
  <c r="J557" i="5"/>
  <c r="J556" i="5"/>
  <c r="J555" i="5"/>
  <c r="J554" i="5"/>
  <c r="J553" i="5"/>
  <c r="J552" i="5"/>
  <c r="J551" i="5"/>
  <c r="J550" i="5"/>
  <c r="J549" i="5"/>
  <c r="J548" i="5"/>
  <c r="J547" i="5"/>
  <c r="J546" i="5"/>
  <c r="J545" i="5"/>
  <c r="J544" i="5"/>
  <c r="J543" i="5"/>
  <c r="J542" i="5"/>
  <c r="J541" i="5"/>
  <c r="J540" i="5"/>
  <c r="J539" i="5"/>
  <c r="J538" i="5"/>
  <c r="J537" i="5"/>
  <c r="J536" i="5"/>
  <c r="J535" i="5"/>
  <c r="J534" i="5"/>
  <c r="AC532" i="5"/>
  <c r="J528" i="5"/>
  <c r="J527" i="5"/>
  <c r="J526" i="5"/>
  <c r="J525" i="5"/>
  <c r="J524" i="5"/>
  <c r="J523" i="5"/>
  <c r="J522" i="5"/>
  <c r="J521" i="5"/>
  <c r="J520" i="5"/>
  <c r="J519" i="5"/>
  <c r="J518" i="5"/>
  <c r="J517" i="5"/>
  <c r="J516" i="5"/>
  <c r="J515" i="5"/>
  <c r="J514" i="5"/>
  <c r="J513" i="5"/>
  <c r="J512" i="5"/>
  <c r="J511" i="5"/>
  <c r="J510" i="5"/>
  <c r="J509" i="5"/>
  <c r="J508" i="5"/>
  <c r="J507" i="5"/>
  <c r="J506" i="5"/>
  <c r="J505" i="5"/>
  <c r="J504" i="5"/>
  <c r="J503" i="5"/>
  <c r="J502" i="5"/>
  <c r="J501" i="5"/>
  <c r="J500" i="5"/>
  <c r="J499" i="5"/>
  <c r="J498" i="5"/>
  <c r="J497" i="5"/>
  <c r="AC495" i="5"/>
  <c r="J491" i="5"/>
  <c r="J490" i="5"/>
  <c r="J489" i="5"/>
  <c r="J488" i="5"/>
  <c r="J487" i="5"/>
  <c r="J486" i="5"/>
  <c r="J485" i="5"/>
  <c r="J484" i="5"/>
  <c r="J483" i="5"/>
  <c r="J482" i="5"/>
  <c r="J481" i="5"/>
  <c r="J480" i="5"/>
  <c r="J479" i="5"/>
  <c r="J478" i="5"/>
  <c r="J477" i="5"/>
  <c r="J476" i="5"/>
  <c r="J475" i="5"/>
  <c r="J474" i="5"/>
  <c r="J473" i="5"/>
  <c r="J472" i="5"/>
  <c r="J471" i="5"/>
  <c r="J470" i="5"/>
  <c r="J469" i="5"/>
  <c r="J468" i="5"/>
  <c r="J467" i="5"/>
  <c r="J466" i="5"/>
  <c r="J465" i="5"/>
  <c r="J464" i="5"/>
  <c r="J463" i="5"/>
  <c r="J462" i="5"/>
  <c r="J461" i="5"/>
  <c r="J460" i="5"/>
  <c r="AC458" i="5"/>
  <c r="J454" i="5"/>
  <c r="J453" i="5"/>
  <c r="J452" i="5"/>
  <c r="J451" i="5"/>
  <c r="J450" i="5"/>
  <c r="J449" i="5"/>
  <c r="J448" i="5"/>
  <c r="J447" i="5"/>
  <c r="J446" i="5"/>
  <c r="J445" i="5"/>
  <c r="J444" i="5"/>
  <c r="J443" i="5"/>
  <c r="J442" i="5"/>
  <c r="J441" i="5"/>
  <c r="J440" i="5"/>
  <c r="J439" i="5"/>
  <c r="J438" i="5"/>
  <c r="J437" i="5"/>
  <c r="J436" i="5"/>
  <c r="J435" i="5"/>
  <c r="J434" i="5"/>
  <c r="J433" i="5"/>
  <c r="J432" i="5"/>
  <c r="J431" i="5"/>
  <c r="J430" i="5"/>
  <c r="J429" i="5"/>
  <c r="J428" i="5"/>
  <c r="J427" i="5"/>
  <c r="J426" i="5"/>
  <c r="J425" i="5"/>
  <c r="J424" i="5"/>
  <c r="J423" i="5"/>
  <c r="AC421" i="5"/>
  <c r="J417" i="5"/>
  <c r="J416" i="5"/>
  <c r="J415" i="5"/>
  <c r="J414" i="5"/>
  <c r="J413" i="5"/>
  <c r="J412" i="5"/>
  <c r="J411" i="5"/>
  <c r="J410" i="5"/>
  <c r="J409" i="5"/>
  <c r="J408" i="5"/>
  <c r="J407" i="5"/>
  <c r="J406" i="5"/>
  <c r="J405" i="5"/>
  <c r="J404" i="5"/>
  <c r="J403" i="5"/>
  <c r="J402" i="5"/>
  <c r="J401" i="5"/>
  <c r="J400" i="5"/>
  <c r="J399" i="5"/>
  <c r="J398" i="5"/>
  <c r="J397" i="5"/>
  <c r="J396" i="5"/>
  <c r="J395" i="5"/>
  <c r="J394" i="5"/>
  <c r="J393" i="5"/>
  <c r="J392" i="5"/>
  <c r="J391" i="5"/>
  <c r="J390" i="5"/>
  <c r="J389" i="5"/>
  <c r="J388" i="5"/>
  <c r="J387" i="5"/>
  <c r="J386" i="5"/>
  <c r="AC384" i="5"/>
  <c r="J380" i="5"/>
  <c r="J379" i="5"/>
  <c r="J378" i="5"/>
  <c r="J377" i="5"/>
  <c r="J376" i="5"/>
  <c r="J375" i="5"/>
  <c r="J374" i="5"/>
  <c r="J373" i="5"/>
  <c r="J372" i="5"/>
  <c r="J371" i="5"/>
  <c r="J370" i="5"/>
  <c r="J369" i="5"/>
  <c r="J368" i="5"/>
  <c r="J367" i="5"/>
  <c r="J366" i="5"/>
  <c r="J365" i="5"/>
  <c r="J364" i="5"/>
  <c r="J363" i="5"/>
  <c r="J362" i="5"/>
  <c r="J361" i="5"/>
  <c r="J360" i="5"/>
  <c r="J359" i="5"/>
  <c r="J358" i="5"/>
  <c r="J357" i="5"/>
  <c r="J356" i="5"/>
  <c r="J355" i="5"/>
  <c r="J354" i="5"/>
  <c r="J353" i="5"/>
  <c r="J352" i="5"/>
  <c r="J351" i="5"/>
  <c r="J350" i="5"/>
  <c r="J349" i="5"/>
  <c r="AE347" i="5"/>
  <c r="AD347" i="5"/>
  <c r="AC347" i="5"/>
  <c r="J343" i="5"/>
  <c r="J342" i="5"/>
  <c r="J341" i="5"/>
  <c r="J340" i="5"/>
  <c r="J339" i="5"/>
  <c r="J338" i="5"/>
  <c r="J337" i="5"/>
  <c r="J336" i="5"/>
  <c r="J335" i="5"/>
  <c r="J334" i="5"/>
  <c r="J333" i="5"/>
  <c r="J332" i="5"/>
  <c r="J331" i="5"/>
  <c r="J330" i="5"/>
  <c r="J329" i="5"/>
  <c r="J328" i="5"/>
  <c r="J327" i="5"/>
  <c r="J326" i="5"/>
  <c r="J325" i="5"/>
  <c r="J324" i="5"/>
  <c r="J323" i="5"/>
  <c r="J322" i="5"/>
  <c r="J321" i="5"/>
  <c r="J320" i="5"/>
  <c r="J319" i="5"/>
  <c r="J318" i="5"/>
  <c r="J317" i="5"/>
  <c r="J316" i="5"/>
  <c r="J315" i="5"/>
  <c r="J314" i="5"/>
  <c r="J313" i="5"/>
  <c r="J312" i="5"/>
  <c r="AD310" i="5"/>
  <c r="AC310" i="5"/>
  <c r="J306" i="5"/>
  <c r="J305" i="5"/>
  <c r="J304" i="5"/>
  <c r="J303" i="5"/>
  <c r="J302" i="5"/>
  <c r="J301" i="5"/>
  <c r="J300" i="5"/>
  <c r="J299" i="5"/>
  <c r="J298" i="5"/>
  <c r="J297" i="5"/>
  <c r="J296" i="5"/>
  <c r="J295" i="5"/>
  <c r="J294" i="5"/>
  <c r="J293" i="5"/>
  <c r="J292" i="5"/>
  <c r="J291" i="5"/>
  <c r="J290" i="5"/>
  <c r="J289" i="5"/>
  <c r="J288" i="5"/>
  <c r="J287" i="5"/>
  <c r="J286" i="5"/>
  <c r="J285" i="5"/>
  <c r="J284" i="5"/>
  <c r="J283" i="5"/>
  <c r="J282" i="5"/>
  <c r="J281" i="5"/>
  <c r="J280" i="5"/>
  <c r="J279" i="5"/>
  <c r="J278" i="5"/>
  <c r="J277" i="5"/>
  <c r="J276" i="5"/>
  <c r="J275" i="5"/>
  <c r="AC273" i="5"/>
  <c r="J269" i="5"/>
  <c r="J268" i="5"/>
  <c r="J267" i="5"/>
  <c r="J266" i="5"/>
  <c r="J265" i="5"/>
  <c r="J264" i="5"/>
  <c r="J263" i="5"/>
  <c r="J262" i="5"/>
  <c r="J261" i="5"/>
  <c r="J260" i="5"/>
  <c r="J259" i="5"/>
  <c r="J258" i="5"/>
  <c r="J257" i="5"/>
  <c r="J256" i="5"/>
  <c r="J255" i="5"/>
  <c r="J254" i="5"/>
  <c r="J253" i="5"/>
  <c r="J252" i="5"/>
  <c r="J251" i="5"/>
  <c r="J250" i="5"/>
  <c r="J249" i="5"/>
  <c r="J248" i="5"/>
  <c r="J247" i="5"/>
  <c r="J246" i="5"/>
  <c r="J245" i="5"/>
  <c r="J244" i="5"/>
  <c r="J243" i="5"/>
  <c r="J242" i="5"/>
  <c r="J241" i="5"/>
  <c r="J240" i="5"/>
  <c r="J239" i="5"/>
  <c r="J238" i="5"/>
  <c r="AC236" i="5"/>
  <c r="J232" i="5"/>
  <c r="J231" i="5"/>
  <c r="J230" i="5"/>
  <c r="J229" i="5"/>
  <c r="J228" i="5"/>
  <c r="J227" i="5"/>
  <c r="J226" i="5"/>
  <c r="J225" i="5"/>
  <c r="J224" i="5"/>
  <c r="J223" i="5"/>
  <c r="J222" i="5"/>
  <c r="J221" i="5"/>
  <c r="J220" i="5"/>
  <c r="J219" i="5"/>
  <c r="J218" i="5"/>
  <c r="J217" i="5"/>
  <c r="J216" i="5"/>
  <c r="J215" i="5"/>
  <c r="J214" i="5"/>
  <c r="J213" i="5"/>
  <c r="J212" i="5"/>
  <c r="J211" i="5"/>
  <c r="J210" i="5"/>
  <c r="J209" i="5"/>
  <c r="J208" i="5"/>
  <c r="J207" i="5"/>
  <c r="J206" i="5"/>
  <c r="J205" i="5"/>
  <c r="J204" i="5"/>
  <c r="J203" i="5"/>
  <c r="J202" i="5"/>
  <c r="J201" i="5"/>
  <c r="AC199" i="5"/>
  <c r="J195" i="5"/>
  <c r="J194" i="5"/>
  <c r="J193" i="5"/>
  <c r="J192" i="5"/>
  <c r="J191" i="5"/>
  <c r="J190" i="5"/>
  <c r="J189" i="5"/>
  <c r="J188" i="5"/>
  <c r="J187" i="5"/>
  <c r="J186" i="5"/>
  <c r="J185" i="5"/>
  <c r="J184" i="5"/>
  <c r="J183" i="5"/>
  <c r="J182" i="5"/>
  <c r="J181" i="5"/>
  <c r="J180" i="5"/>
  <c r="J179" i="5"/>
  <c r="J178" i="5"/>
  <c r="J177" i="5"/>
  <c r="J176" i="5"/>
  <c r="J175" i="5"/>
  <c r="J174" i="5"/>
  <c r="J173" i="5"/>
  <c r="J172" i="5"/>
  <c r="J171" i="5"/>
  <c r="J170" i="5"/>
  <c r="J169" i="5"/>
  <c r="J168" i="5"/>
  <c r="J167" i="5"/>
  <c r="J166" i="5"/>
  <c r="J165" i="5"/>
  <c r="J164" i="5"/>
  <c r="AC162" i="5"/>
  <c r="J158" i="5"/>
  <c r="J157" i="5"/>
  <c r="J156" i="5"/>
  <c r="J155" i="5"/>
  <c r="J154" i="5"/>
  <c r="J153" i="5"/>
  <c r="J152" i="5"/>
  <c r="J151" i="5"/>
  <c r="J150" i="5"/>
  <c r="J149" i="5"/>
  <c r="J148" i="5"/>
  <c r="J147" i="5"/>
  <c r="J146" i="5"/>
  <c r="J145" i="5"/>
  <c r="J144" i="5"/>
  <c r="J143" i="5"/>
  <c r="J142" i="5"/>
  <c r="J141" i="5"/>
  <c r="J140" i="5"/>
  <c r="J139" i="5"/>
  <c r="J138" i="5"/>
  <c r="J137" i="5"/>
  <c r="J136" i="5"/>
  <c r="J135" i="5"/>
  <c r="J134" i="5"/>
  <c r="J133" i="5"/>
  <c r="J132" i="5"/>
  <c r="J131" i="5"/>
  <c r="J130" i="5"/>
  <c r="J129" i="5"/>
  <c r="J128" i="5"/>
  <c r="J127" i="5"/>
  <c r="AD125" i="5"/>
  <c r="AC125" i="5"/>
  <c r="J121" i="5"/>
  <c r="J120" i="5"/>
  <c r="J119" i="5"/>
  <c r="J118" i="5"/>
  <c r="J117" i="5"/>
  <c r="J116" i="5"/>
  <c r="J115" i="5"/>
  <c r="J114" i="5"/>
  <c r="J113" i="5"/>
  <c r="J112" i="5"/>
  <c r="J111" i="5"/>
  <c r="J110" i="5"/>
  <c r="J109" i="5"/>
  <c r="J108" i="5"/>
  <c r="J107" i="5"/>
  <c r="J106" i="5"/>
  <c r="J105" i="5"/>
  <c r="J104" i="5"/>
  <c r="J103" i="5"/>
  <c r="J102" i="5"/>
  <c r="J101" i="5"/>
  <c r="J100" i="5"/>
  <c r="J99" i="5"/>
  <c r="J98" i="5"/>
  <c r="J97" i="5"/>
  <c r="J96" i="5"/>
  <c r="J95" i="5"/>
  <c r="J94" i="5"/>
  <c r="J93" i="5"/>
  <c r="J92" i="5"/>
  <c r="J91" i="5"/>
  <c r="J90" i="5"/>
  <c r="AD88" i="5"/>
  <c r="AC88" i="5"/>
  <c r="J84" i="5"/>
  <c r="J83" i="5"/>
  <c r="J82" i="5"/>
  <c r="J81" i="5"/>
  <c r="J80" i="5"/>
  <c r="J79" i="5"/>
  <c r="J78" i="5"/>
  <c r="J77" i="5"/>
  <c r="J76" i="5"/>
  <c r="J75" i="5"/>
  <c r="J74" i="5"/>
  <c r="J73" i="5"/>
  <c r="J72" i="5"/>
  <c r="J71" i="5"/>
  <c r="J70" i="5"/>
  <c r="J69" i="5"/>
  <c r="J68" i="5"/>
  <c r="J67" i="5"/>
  <c r="J66" i="5"/>
  <c r="J65" i="5"/>
  <c r="J64" i="5"/>
  <c r="J63" i="5"/>
  <c r="J62" i="5"/>
  <c r="J61" i="5"/>
  <c r="J60" i="5"/>
  <c r="J59" i="5"/>
  <c r="J58" i="5"/>
  <c r="J57" i="5"/>
  <c r="J56" i="5"/>
  <c r="J55" i="5"/>
  <c r="J54" i="5"/>
  <c r="J53" i="5"/>
  <c r="AE51" i="5"/>
  <c r="AD51" i="5"/>
  <c r="AC51" i="5"/>
  <c r="J47" i="5"/>
  <c r="J46" i="5"/>
  <c r="J45" i="5"/>
  <c r="J44" i="5"/>
  <c r="J43" i="5"/>
  <c r="J42" i="5"/>
  <c r="J41" i="5"/>
  <c r="J40" i="5"/>
  <c r="J39" i="5"/>
  <c r="J38" i="5"/>
  <c r="J37" i="5"/>
  <c r="AM36" i="5"/>
  <c r="AM37" i="5" s="1"/>
  <c r="J36" i="5"/>
  <c r="J35" i="5"/>
  <c r="J34" i="5"/>
  <c r="J33" i="5"/>
  <c r="J32" i="5"/>
  <c r="J31" i="5"/>
  <c r="J30" i="5"/>
  <c r="J29" i="5"/>
  <c r="J28" i="5"/>
  <c r="J27" i="5"/>
  <c r="AS26" i="5"/>
  <c r="BD26" i="5" s="1"/>
  <c r="AR26" i="5"/>
  <c r="BC26" i="5" s="1"/>
  <c r="AQ26" i="5"/>
  <c r="BB26" i="5" s="1"/>
  <c r="AP26" i="5"/>
  <c r="BA26" i="5" s="1"/>
  <c r="AO26" i="5"/>
  <c r="AZ26" i="5" s="1"/>
  <c r="J26" i="5"/>
  <c r="AS25" i="5"/>
  <c r="BD25" i="5" s="1"/>
  <c r="AR25" i="5"/>
  <c r="BC25" i="5" s="1"/>
  <c r="AQ25" i="5"/>
  <c r="BB25" i="5" s="1"/>
  <c r="AP25" i="5"/>
  <c r="BA25" i="5" s="1"/>
  <c r="AO25" i="5"/>
  <c r="AZ25" i="5" s="1"/>
  <c r="J25" i="5"/>
  <c r="AS24" i="5"/>
  <c r="BD24" i="5" s="1"/>
  <c r="AR24" i="5"/>
  <c r="BC24" i="5" s="1"/>
  <c r="AQ24" i="5"/>
  <c r="BB24" i="5" s="1"/>
  <c r="AP24" i="5"/>
  <c r="BA24" i="5" s="1"/>
  <c r="AO24" i="5"/>
  <c r="AZ24" i="5" s="1"/>
  <c r="J24" i="5"/>
  <c r="J23" i="5"/>
  <c r="J22" i="5"/>
  <c r="J21" i="5"/>
  <c r="J20" i="5"/>
  <c r="J19" i="5"/>
  <c r="J18" i="5"/>
  <c r="J17" i="5"/>
  <c r="J16" i="5"/>
  <c r="AE14" i="5"/>
  <c r="AD14" i="5"/>
  <c r="AC14" i="5"/>
  <c r="BL12" i="5"/>
  <c r="BN12" i="5" s="1"/>
  <c r="L20" i="3"/>
  <c r="M20" i="3" s="1"/>
  <c r="P20" i="3"/>
  <c r="Q20" i="3" s="1"/>
  <c r="R20" i="3"/>
  <c r="L21" i="3"/>
  <c r="M21" i="3" s="1"/>
  <c r="P21" i="3"/>
  <c r="Q21" i="3" s="1"/>
  <c r="R21" i="3"/>
  <c r="L22" i="3"/>
  <c r="M22" i="3" s="1"/>
  <c r="P22" i="3"/>
  <c r="Q22" i="3" s="1"/>
  <c r="R22" i="3"/>
  <c r="L23" i="3"/>
  <c r="M23" i="3" s="1"/>
  <c r="P23" i="3"/>
  <c r="Q23" i="3" s="1"/>
  <c r="R23" i="3"/>
  <c r="L24" i="3"/>
  <c r="M24" i="3" s="1"/>
  <c r="P24" i="3"/>
  <c r="Q24" i="3" s="1"/>
  <c r="R24" i="3"/>
  <c r="L25" i="3"/>
  <c r="M25" i="3" s="1"/>
  <c r="P25" i="3"/>
  <c r="Q25" i="3" s="1"/>
  <c r="R25" i="3"/>
  <c r="L26" i="3"/>
  <c r="M26" i="3" s="1"/>
  <c r="P26" i="3"/>
  <c r="Q26" i="3" s="1"/>
  <c r="R26" i="3"/>
  <c r="L27" i="3"/>
  <c r="M27" i="3" s="1"/>
  <c r="P27" i="3"/>
  <c r="Q27" i="3" s="1"/>
  <c r="R27" i="3"/>
  <c r="L28" i="3"/>
  <c r="M28" i="3" s="1"/>
  <c r="P28" i="3"/>
  <c r="Q28" i="3" s="1"/>
  <c r="R28" i="3"/>
  <c r="L29" i="3"/>
  <c r="M29" i="3" s="1"/>
  <c r="P29" i="3"/>
  <c r="Q29" i="3" s="1"/>
  <c r="R29" i="3"/>
  <c r="L30" i="3"/>
  <c r="M30" i="3" s="1"/>
  <c r="P30" i="3"/>
  <c r="Q30" i="3" s="1"/>
  <c r="R30" i="3"/>
  <c r="L31" i="3"/>
  <c r="M31" i="3" s="1"/>
  <c r="P31" i="3"/>
  <c r="Q31" i="3" s="1"/>
  <c r="R31" i="3"/>
  <c r="L32" i="3"/>
  <c r="M32" i="3" s="1"/>
  <c r="P32" i="3"/>
  <c r="Q32" i="3" s="1"/>
  <c r="R32" i="3"/>
  <c r="L33" i="3"/>
  <c r="M33" i="3" s="1"/>
  <c r="P33" i="3"/>
  <c r="Q33" i="3" s="1"/>
  <c r="R33" i="3"/>
  <c r="L34" i="3"/>
  <c r="M34" i="3" s="1"/>
  <c r="P34" i="3"/>
  <c r="Q34" i="3" s="1"/>
  <c r="R34" i="3"/>
  <c r="L35" i="3"/>
  <c r="M35" i="3" s="1"/>
  <c r="P35" i="3"/>
  <c r="Q35" i="3" s="1"/>
  <c r="R35" i="3"/>
  <c r="L36" i="3"/>
  <c r="M36" i="3" s="1"/>
  <c r="P36" i="3"/>
  <c r="Q36" i="3" s="1"/>
  <c r="R36" i="3"/>
  <c r="L37" i="3"/>
  <c r="M37" i="3" s="1"/>
  <c r="P37" i="3"/>
  <c r="Q37" i="3" s="1"/>
  <c r="R37" i="3"/>
  <c r="L38" i="3"/>
  <c r="M38" i="3" s="1"/>
  <c r="P38" i="3"/>
  <c r="Q38" i="3" s="1"/>
  <c r="R38" i="3"/>
  <c r="L39" i="3"/>
  <c r="M39" i="3" s="1"/>
  <c r="P39" i="3"/>
  <c r="Q39" i="3" s="1"/>
  <c r="R39" i="3"/>
  <c r="L40" i="3"/>
  <c r="M40" i="3" s="1"/>
  <c r="P40" i="3"/>
  <c r="Q40" i="3" s="1"/>
  <c r="R40" i="3"/>
  <c r="L41" i="3"/>
  <c r="M41" i="3" s="1"/>
  <c r="P41" i="3"/>
  <c r="Q41" i="3" s="1"/>
  <c r="R41" i="3"/>
  <c r="L42" i="3"/>
  <c r="M42" i="3" s="1"/>
  <c r="P42" i="3"/>
  <c r="Q42" i="3" s="1"/>
  <c r="R42" i="3"/>
  <c r="L43" i="3"/>
  <c r="M43" i="3" s="1"/>
  <c r="P43" i="3"/>
  <c r="Q43" i="3" s="1"/>
  <c r="R43" i="3"/>
  <c r="L44" i="3"/>
  <c r="M44" i="3" s="1"/>
  <c r="P44" i="3"/>
  <c r="Q44" i="3" s="1"/>
  <c r="R44" i="3"/>
  <c r="L45" i="3"/>
  <c r="M45" i="3" s="1"/>
  <c r="P45" i="3"/>
  <c r="Q45" i="3" s="1"/>
  <c r="R45" i="3"/>
  <c r="L46" i="3"/>
  <c r="M46" i="3" s="1"/>
  <c r="P46" i="3"/>
  <c r="Q46" i="3" s="1"/>
  <c r="R46" i="3"/>
  <c r="L47" i="3"/>
  <c r="M47" i="3" s="1"/>
  <c r="P47" i="3"/>
  <c r="Q47" i="3" s="1"/>
  <c r="R47" i="3"/>
  <c r="L48" i="3"/>
  <c r="M48" i="3" s="1"/>
  <c r="P48" i="3"/>
  <c r="Q48" i="3" s="1"/>
  <c r="R48" i="3"/>
  <c r="L49" i="3"/>
  <c r="M49" i="3" s="1"/>
  <c r="P49" i="3"/>
  <c r="Q49" i="3" s="1"/>
  <c r="R49" i="3"/>
  <c r="L50" i="3"/>
  <c r="M50" i="3" s="1"/>
  <c r="P50" i="3"/>
  <c r="Q50" i="3" s="1"/>
  <c r="R50" i="3"/>
  <c r="L51" i="3"/>
  <c r="M51" i="3" s="1"/>
  <c r="P51" i="3"/>
  <c r="Q51" i="3" s="1"/>
  <c r="R51" i="3"/>
  <c r="R4" i="3"/>
  <c r="R5" i="3"/>
  <c r="R6" i="3"/>
  <c r="R7" i="3"/>
  <c r="R3" i="3"/>
  <c r="P4" i="3"/>
  <c r="P5" i="3"/>
  <c r="P6" i="3"/>
  <c r="P7" i="3"/>
  <c r="P3" i="3"/>
  <c r="L4" i="3"/>
  <c r="M4" i="3" s="1"/>
  <c r="L5" i="3"/>
  <c r="M5" i="3" s="1"/>
  <c r="L6" i="3"/>
  <c r="M6" i="3" s="1"/>
  <c r="L7" i="3"/>
  <c r="M7" i="3" s="1"/>
  <c r="L3" i="3"/>
  <c r="M3" i="3" s="1"/>
  <c r="BL12" i="1"/>
  <c r="BN12" i="1" s="1"/>
  <c r="N354" i="16" l="1"/>
  <c r="O354" i="16" s="1"/>
  <c r="K339" i="16"/>
  <c r="L339" i="16" s="1"/>
  <c r="J627" i="10"/>
  <c r="AK142" i="10"/>
  <c r="AK136" i="10"/>
  <c r="AL136" i="10" s="1"/>
  <c r="K626" i="10"/>
  <c r="M612" i="10"/>
  <c r="K589" i="10"/>
  <c r="K569" i="10"/>
  <c r="K596" i="10"/>
  <c r="K625" i="10"/>
  <c r="K620" i="10"/>
  <c r="K618" i="10"/>
  <c r="AK145" i="10"/>
  <c r="AL145" i="10" s="1"/>
  <c r="K577" i="10"/>
  <c r="J580" i="10"/>
  <c r="K599" i="10"/>
  <c r="K633" i="10"/>
  <c r="AK131" i="10"/>
  <c r="AL131" i="10" s="1"/>
  <c r="K632" i="10"/>
  <c r="K592" i="10"/>
  <c r="AK127" i="10"/>
  <c r="AL127" i="10" s="1"/>
  <c r="K603" i="10"/>
  <c r="K623" i="10"/>
  <c r="M633" i="10"/>
  <c r="AK133" i="10"/>
  <c r="L619" i="10" s="1"/>
  <c r="K573" i="10"/>
  <c r="J633" i="10"/>
  <c r="N609" i="10"/>
  <c r="AU127" i="10"/>
  <c r="N624" i="10"/>
  <c r="K578" i="10"/>
  <c r="K593" i="10"/>
  <c r="K575" i="10"/>
  <c r="I338" i="11"/>
  <c r="I339" i="11"/>
  <c r="I363" i="11"/>
  <c r="I371" i="11"/>
  <c r="K631" i="10"/>
  <c r="CF148" i="10"/>
  <c r="CD150" i="10"/>
  <c r="CE150" i="10" s="1"/>
  <c r="K574" i="10"/>
  <c r="I336" i="11"/>
  <c r="K628" i="10"/>
  <c r="K604" i="10"/>
  <c r="K616" i="10"/>
  <c r="M629" i="10"/>
  <c r="M605" i="10"/>
  <c r="CF127" i="10"/>
  <c r="CF150" i="10" s="1"/>
  <c r="K582" i="10"/>
  <c r="K572" i="10"/>
  <c r="I365" i="11"/>
  <c r="I357" i="11"/>
  <c r="I360" i="11"/>
  <c r="I373" i="11"/>
  <c r="I376" i="11"/>
  <c r="K609" i="10"/>
  <c r="P150" i="10"/>
  <c r="I341" i="11"/>
  <c r="I369" i="11"/>
  <c r="I362" i="11"/>
  <c r="I379" i="11"/>
  <c r="I386" i="11"/>
  <c r="I344" i="11"/>
  <c r="K610" i="10"/>
  <c r="I378" i="11"/>
  <c r="I380" i="11"/>
  <c r="I355" i="11"/>
  <c r="I366" i="11"/>
  <c r="I381" i="11"/>
  <c r="J617" i="10"/>
  <c r="M627" i="10"/>
  <c r="BA150" i="10"/>
  <c r="BA151" i="10" s="1"/>
  <c r="BN115" i="10" s="1"/>
  <c r="BN123" i="10" s="1"/>
  <c r="BP123" i="10" s="1"/>
  <c r="K590" i="10"/>
  <c r="M632" i="10"/>
  <c r="M628" i="10"/>
  <c r="AV140" i="10"/>
  <c r="K597" i="10"/>
  <c r="I645" i="10"/>
  <c r="AU148" i="10"/>
  <c r="M616" i="10"/>
  <c r="M615" i="10"/>
  <c r="K594" i="10"/>
  <c r="P331" i="11"/>
  <c r="R330" i="11" s="1"/>
  <c r="I342" i="11"/>
  <c r="I368" i="11"/>
  <c r="I340" i="11"/>
  <c r="I358" i="11"/>
  <c r="I335" i="11"/>
  <c r="I361" i="11"/>
  <c r="I359" i="11"/>
  <c r="I377" i="11"/>
  <c r="I370" i="11"/>
  <c r="I382" i="11"/>
  <c r="I385" i="11"/>
  <c r="G549" i="10"/>
  <c r="K549" i="10" s="1"/>
  <c r="CN116" i="10"/>
  <c r="CR143" i="10" s="1"/>
  <c r="I334" i="11"/>
  <c r="I337" i="11"/>
  <c r="I384" i="11"/>
  <c r="I356" i="11"/>
  <c r="I374" i="11"/>
  <c r="I343" i="11"/>
  <c r="I364" i="11"/>
  <c r="I367" i="11"/>
  <c r="I383" i="11"/>
  <c r="I372" i="11"/>
  <c r="K570" i="10"/>
  <c r="K598" i="10"/>
  <c r="K587" i="10"/>
  <c r="M375" i="11"/>
  <c r="K376" i="11"/>
  <c r="A415" i="11"/>
  <c r="D414" i="11"/>
  <c r="J414" i="11"/>
  <c r="C414" i="11"/>
  <c r="B414" i="11"/>
  <c r="A345" i="11"/>
  <c r="J344" i="11"/>
  <c r="F344" i="11"/>
  <c r="E344" i="11"/>
  <c r="D344" i="11"/>
  <c r="M381" i="11"/>
  <c r="K380" i="11"/>
  <c r="E436" i="11"/>
  <c r="E432" i="11"/>
  <c r="E428" i="11"/>
  <c r="E438" i="11"/>
  <c r="E434" i="11"/>
  <c r="E430" i="11"/>
  <c r="E426" i="11"/>
  <c r="E440" i="11"/>
  <c r="G440" i="11" s="1"/>
  <c r="I440" i="11" s="1"/>
  <c r="K440" i="11" s="1"/>
  <c r="E435" i="11"/>
  <c r="E427" i="11"/>
  <c r="E422" i="11"/>
  <c r="E418" i="11"/>
  <c r="E414" i="11"/>
  <c r="E410" i="11"/>
  <c r="G410" i="11" s="1"/>
  <c r="I410" i="11" s="1"/>
  <c r="K410" i="11" s="1"/>
  <c r="E406" i="11"/>
  <c r="G406" i="11" s="1"/>
  <c r="I406" i="11" s="1"/>
  <c r="K406" i="11" s="1"/>
  <c r="E437" i="11"/>
  <c r="E429" i="11"/>
  <c r="E423" i="11"/>
  <c r="E419" i="11"/>
  <c r="E415" i="11"/>
  <c r="E411" i="11"/>
  <c r="G411" i="11" s="1"/>
  <c r="I411" i="11" s="1"/>
  <c r="K411" i="11" s="1"/>
  <c r="E407" i="11"/>
  <c r="G407" i="11" s="1"/>
  <c r="I407" i="11" s="1"/>
  <c r="K407" i="11" s="1"/>
  <c r="E439" i="11"/>
  <c r="E431" i="11"/>
  <c r="E420" i="11"/>
  <c r="E416" i="11"/>
  <c r="E412" i="11"/>
  <c r="G412" i="11" s="1"/>
  <c r="I412" i="11" s="1"/>
  <c r="K412" i="11" s="1"/>
  <c r="E408" i="11"/>
  <c r="G408" i="11" s="1"/>
  <c r="I408" i="11" s="1"/>
  <c r="K408" i="11" s="1"/>
  <c r="E404" i="11"/>
  <c r="G404" i="11" s="1"/>
  <c r="I404" i="11" s="1"/>
  <c r="K404" i="11" s="1"/>
  <c r="K369" i="11"/>
  <c r="M369" i="11" s="1"/>
  <c r="E424" i="11"/>
  <c r="M368" i="11"/>
  <c r="E425" i="11"/>
  <c r="E417" i="11"/>
  <c r="E409" i="11"/>
  <c r="G409" i="11" s="1"/>
  <c r="I409" i="11" s="1"/>
  <c r="K409" i="11" s="1"/>
  <c r="E433" i="11"/>
  <c r="E421" i="11"/>
  <c r="E413" i="11"/>
  <c r="G413" i="11" s="1"/>
  <c r="I413" i="11" s="1"/>
  <c r="K413" i="11" s="1"/>
  <c r="E405" i="11"/>
  <c r="G405" i="11" s="1"/>
  <c r="I405" i="11" s="1"/>
  <c r="K405" i="11" s="1"/>
  <c r="M343" i="11"/>
  <c r="K357" i="11"/>
  <c r="M358" i="11"/>
  <c r="Q3" i="3"/>
  <c r="T3" i="3" s="1"/>
  <c r="P8" i="3"/>
  <c r="P13" i="3" s="1"/>
  <c r="AG28" i="5"/>
  <c r="AF28" i="5" s="1"/>
  <c r="AG32" i="5"/>
  <c r="AF32" i="5" s="1"/>
  <c r="AG39" i="5"/>
  <c r="AF39" i="5" s="1"/>
  <c r="AG58" i="5"/>
  <c r="AF58" i="5" s="1"/>
  <c r="AG62" i="5"/>
  <c r="AF62" i="5" s="1"/>
  <c r="AG68" i="5"/>
  <c r="AF68" i="5" s="1"/>
  <c r="AG76" i="5"/>
  <c r="AF76" i="5" s="1"/>
  <c r="AG353" i="5"/>
  <c r="AF353" i="5" s="1"/>
  <c r="AG361" i="5"/>
  <c r="AF361" i="5" s="1"/>
  <c r="AG363" i="5"/>
  <c r="AF363" i="5" s="1"/>
  <c r="AG369" i="5"/>
  <c r="AF369" i="5" s="1"/>
  <c r="AG379" i="5"/>
  <c r="AF379" i="5" s="1"/>
  <c r="AG18" i="5"/>
  <c r="AG20" i="5"/>
  <c r="AF20" i="5" s="1"/>
  <c r="AG22" i="5"/>
  <c r="AF22" i="5" s="1"/>
  <c r="AG24" i="5"/>
  <c r="AF24" i="5" s="1"/>
  <c r="AG36" i="5"/>
  <c r="AF36" i="5" s="1"/>
  <c r="Q4" i="3"/>
  <c r="P9" i="3"/>
  <c r="P14" i="3" s="1"/>
  <c r="AG25" i="5"/>
  <c r="AF25" i="5" s="1"/>
  <c r="AG41" i="5"/>
  <c r="AF41" i="5" s="1"/>
  <c r="AG45" i="5"/>
  <c r="AF45" i="5" s="1"/>
  <c r="AG56" i="5"/>
  <c r="AF56" i="5" s="1"/>
  <c r="AG64" i="5"/>
  <c r="AF64" i="5" s="1"/>
  <c r="AG72" i="5"/>
  <c r="AF72" i="5" s="1"/>
  <c r="AG78" i="5"/>
  <c r="AF78" i="5" s="1"/>
  <c r="AG355" i="5"/>
  <c r="AF355" i="5" s="1"/>
  <c r="AG359" i="5"/>
  <c r="AF359" i="5" s="1"/>
  <c r="AG367" i="5"/>
  <c r="AF367" i="5" s="1"/>
  <c r="AG373" i="5"/>
  <c r="AF373" i="5" s="1"/>
  <c r="AG377" i="5"/>
  <c r="AF377" i="5" s="1"/>
  <c r="AG27" i="5"/>
  <c r="AF27" i="5" s="1"/>
  <c r="AG29" i="5"/>
  <c r="AF29" i="5" s="1"/>
  <c r="AG31" i="5"/>
  <c r="AF31" i="5" s="1"/>
  <c r="AG33" i="5"/>
  <c r="AF33" i="5" s="1"/>
  <c r="AG35" i="5"/>
  <c r="AF35" i="5" s="1"/>
  <c r="AG38" i="5"/>
  <c r="AF38" i="5" s="1"/>
  <c r="AG40" i="5"/>
  <c r="AF40" i="5" s="1"/>
  <c r="AG42" i="5"/>
  <c r="AF42" i="5" s="1"/>
  <c r="AG44" i="5"/>
  <c r="AF44" i="5" s="1"/>
  <c r="AG46" i="5"/>
  <c r="AF46" i="5" s="1"/>
  <c r="AG55" i="5"/>
  <c r="AF55" i="5" s="1"/>
  <c r="AG57" i="5"/>
  <c r="AF57" i="5" s="1"/>
  <c r="AG59" i="5"/>
  <c r="AF59" i="5" s="1"/>
  <c r="AG61" i="5"/>
  <c r="AF61" i="5" s="1"/>
  <c r="AG63" i="5"/>
  <c r="AF63" i="5" s="1"/>
  <c r="AG65" i="5"/>
  <c r="AF65" i="5" s="1"/>
  <c r="AG67" i="5"/>
  <c r="AF67" i="5" s="1"/>
  <c r="AG69" i="5"/>
  <c r="AF69" i="5" s="1"/>
  <c r="AG71" i="5"/>
  <c r="AF71" i="5" s="1"/>
  <c r="AG73" i="5"/>
  <c r="AF73" i="5" s="1"/>
  <c r="AG75" i="5"/>
  <c r="AF75" i="5" s="1"/>
  <c r="AG77" i="5"/>
  <c r="AF77" i="5" s="1"/>
  <c r="AG79" i="5"/>
  <c r="AF79" i="5" s="1"/>
  <c r="AG81" i="5"/>
  <c r="AF81" i="5" s="1"/>
  <c r="AG83" i="5"/>
  <c r="AF83" i="5" s="1"/>
  <c r="AG352" i="5"/>
  <c r="AF352" i="5" s="1"/>
  <c r="AG354" i="5"/>
  <c r="AF354" i="5" s="1"/>
  <c r="AG356" i="5"/>
  <c r="AF356" i="5" s="1"/>
  <c r="AG358" i="5"/>
  <c r="AF358" i="5" s="1"/>
  <c r="AG360" i="5"/>
  <c r="AF360" i="5" s="1"/>
  <c r="AG362" i="5"/>
  <c r="AF362" i="5" s="1"/>
  <c r="AG364" i="5"/>
  <c r="AF364" i="5" s="1"/>
  <c r="AG366" i="5"/>
  <c r="AF366" i="5" s="1"/>
  <c r="AG368" i="5"/>
  <c r="AF368" i="5" s="1"/>
  <c r="AG370" i="5"/>
  <c r="AF370" i="5" s="1"/>
  <c r="AG372" i="5"/>
  <c r="AF372" i="5" s="1"/>
  <c r="AG374" i="5"/>
  <c r="AF374" i="5" s="1"/>
  <c r="AG376" i="5"/>
  <c r="AF376" i="5" s="1"/>
  <c r="AG378" i="5"/>
  <c r="AF378" i="5" s="1"/>
  <c r="AG30" i="5"/>
  <c r="AF30" i="5" s="1"/>
  <c r="AG34" i="5"/>
  <c r="AF34" i="5" s="1"/>
  <c r="AG37" i="5"/>
  <c r="AF37" i="5" s="1"/>
  <c r="AG43" i="5"/>
  <c r="AF43" i="5" s="1"/>
  <c r="AG60" i="5"/>
  <c r="AF60" i="5" s="1"/>
  <c r="AG66" i="5"/>
  <c r="AF66" i="5" s="1"/>
  <c r="AG70" i="5"/>
  <c r="AF70" i="5" s="1"/>
  <c r="AG74" i="5"/>
  <c r="AF74" i="5" s="1"/>
  <c r="AG80" i="5"/>
  <c r="AF80" i="5" s="1"/>
  <c r="AG82" i="5"/>
  <c r="AF82" i="5" s="1"/>
  <c r="AG351" i="5"/>
  <c r="AG357" i="5"/>
  <c r="AF357" i="5" s="1"/>
  <c r="AG365" i="5"/>
  <c r="AF365" i="5" s="1"/>
  <c r="AG371" i="5"/>
  <c r="AF371" i="5" s="1"/>
  <c r="AG375" i="5"/>
  <c r="AF375" i="5" s="1"/>
  <c r="Q7" i="3"/>
  <c r="P12" i="3"/>
  <c r="Q6" i="3"/>
  <c r="P11" i="3"/>
  <c r="P16" i="3" s="1"/>
  <c r="Q5" i="3"/>
  <c r="P10" i="3"/>
  <c r="P15" i="3" s="1"/>
  <c r="AG19" i="5"/>
  <c r="AF19" i="5" s="1"/>
  <c r="AG21" i="5"/>
  <c r="AF21" i="5" s="1"/>
  <c r="AG23" i="5"/>
  <c r="AF23" i="5" s="1"/>
  <c r="AG26" i="5"/>
  <c r="AF26" i="5" s="1"/>
  <c r="A417" i="10"/>
  <c r="D416" i="10"/>
  <c r="C416" i="10"/>
  <c r="B416" i="10"/>
  <c r="J416" i="10"/>
  <c r="CM145" i="10"/>
  <c r="CP144" i="10"/>
  <c r="CN144" i="10"/>
  <c r="CO144" i="10"/>
  <c r="CM123" i="10"/>
  <c r="CP124" i="10"/>
  <c r="CN124" i="10"/>
  <c r="CO124" i="10"/>
  <c r="N603" i="10"/>
  <c r="L603" i="10"/>
  <c r="AL117" i="10"/>
  <c r="F348" i="10"/>
  <c r="E348" i="10"/>
  <c r="N633" i="10"/>
  <c r="L614" i="10"/>
  <c r="BS133" i="10"/>
  <c r="N621" i="10"/>
  <c r="L621" i="10"/>
  <c r="N620" i="10"/>
  <c r="M621" i="10"/>
  <c r="N604" i="10"/>
  <c r="N606" i="10"/>
  <c r="L604" i="10"/>
  <c r="M604" i="10"/>
  <c r="L634" i="10"/>
  <c r="L620" i="10"/>
  <c r="N614" i="10"/>
  <c r="L622" i="10"/>
  <c r="M606" i="10"/>
  <c r="M611" i="10"/>
  <c r="M626" i="10"/>
  <c r="M617" i="10"/>
  <c r="M624" i="10"/>
  <c r="M625" i="10"/>
  <c r="M630" i="10"/>
  <c r="M614" i="10"/>
  <c r="M634" i="10"/>
  <c r="N630" i="10"/>
  <c r="M623" i="10"/>
  <c r="M608" i="10"/>
  <c r="N634" i="10"/>
  <c r="M613" i="10"/>
  <c r="M620" i="10"/>
  <c r="M610" i="10"/>
  <c r="M609" i="10"/>
  <c r="M607" i="10"/>
  <c r="M618" i="10"/>
  <c r="L617" i="10"/>
  <c r="L618" i="10"/>
  <c r="N617" i="10"/>
  <c r="N618" i="10"/>
  <c r="CG144" i="10"/>
  <c r="CJ143" i="10"/>
  <c r="CI143" i="10"/>
  <c r="CL143" i="10" s="1"/>
  <c r="CH143" i="10"/>
  <c r="CK143" i="10" s="1"/>
  <c r="CG127" i="10"/>
  <c r="CJ127" i="10" s="1"/>
  <c r="CI128" i="10"/>
  <c r="CL128" i="10" s="1"/>
  <c r="CH128" i="10"/>
  <c r="CK128" i="10" s="1"/>
  <c r="AN134" i="10"/>
  <c r="N607" i="10"/>
  <c r="L607" i="10"/>
  <c r="AN138" i="10"/>
  <c r="AN126" i="10"/>
  <c r="AL120" i="10"/>
  <c r="N610" i="10"/>
  <c r="L610" i="10"/>
  <c r="N626" i="10"/>
  <c r="L615" i="10"/>
  <c r="L630" i="10"/>
  <c r="N611" i="10"/>
  <c r="N615" i="10"/>
  <c r="N625" i="10"/>
  <c r="AL129" i="10"/>
  <c r="L625" i="10"/>
  <c r="AN142" i="10"/>
  <c r="AN135" i="10"/>
  <c r="AL130" i="10"/>
  <c r="N616" i="10"/>
  <c r="AL126" i="10"/>
  <c r="L612" i="10"/>
  <c r="AL147" i="10"/>
  <c r="L633" i="10"/>
  <c r="L616" i="10"/>
  <c r="L611" i="10"/>
  <c r="AN133" i="10"/>
  <c r="N612" i="10"/>
  <c r="AL137" i="10"/>
  <c r="AL140" i="10"/>
  <c r="L623" i="10"/>
  <c r="J348" i="10"/>
  <c r="AN147" i="10"/>
  <c r="AN139" i="10"/>
  <c r="L608" i="10"/>
  <c r="AL141" i="10"/>
  <c r="L627" i="10"/>
  <c r="N627" i="10"/>
  <c r="AN148" i="10"/>
  <c r="AN137" i="10"/>
  <c r="AN121" i="10"/>
  <c r="AL138" i="10"/>
  <c r="AN145" i="10"/>
  <c r="N608" i="10"/>
  <c r="AN141" i="10"/>
  <c r="AN122" i="10"/>
  <c r="AN123" i="10"/>
  <c r="AL146" i="10"/>
  <c r="N632" i="10"/>
  <c r="L632" i="10"/>
  <c r="AN125" i="10"/>
  <c r="AN120" i="10"/>
  <c r="AN129" i="10"/>
  <c r="AN143" i="10"/>
  <c r="AN144" i="10"/>
  <c r="AN136" i="10"/>
  <c r="AL142" i="10"/>
  <c r="N628" i="10"/>
  <c r="L628" i="10"/>
  <c r="L605" i="10"/>
  <c r="N605" i="10"/>
  <c r="AL119" i="10"/>
  <c r="L624" i="10"/>
  <c r="AN146" i="10"/>
  <c r="AL123" i="10"/>
  <c r="L609" i="10"/>
  <c r="AL143" i="10"/>
  <c r="N629" i="10"/>
  <c r="L629" i="10"/>
  <c r="AL36" i="5"/>
  <c r="AF18" i="5"/>
  <c r="AL37" i="5"/>
  <c r="AM38" i="5"/>
  <c r="AF351" i="5"/>
  <c r="AL35" i="1"/>
  <c r="O326" i="16" l="1"/>
  <c r="R324" i="16" s="1"/>
  <c r="R326" i="16" s="1"/>
  <c r="R327" i="16" s="1"/>
  <c r="R328" i="16" s="1"/>
  <c r="N318" i="16"/>
  <c r="M318" i="16"/>
  <c r="N613" i="10"/>
  <c r="N631" i="10"/>
  <c r="AL133" i="10"/>
  <c r="L631" i="10"/>
  <c r="L613" i="10"/>
  <c r="M622" i="10"/>
  <c r="N622" i="10"/>
  <c r="M619" i="10"/>
  <c r="N619" i="10"/>
  <c r="M631" i="10"/>
  <c r="CR144" i="10"/>
  <c r="CQ124" i="10"/>
  <c r="CQ144" i="10"/>
  <c r="CR124" i="10"/>
  <c r="J645" i="10"/>
  <c r="H648" i="10" s="1"/>
  <c r="K645" i="10"/>
  <c r="H650" i="10" s="1"/>
  <c r="K357" i="10" s="1"/>
  <c r="AH55" i="5"/>
  <c r="CR125" i="10"/>
  <c r="AH351" i="5"/>
  <c r="CR134" i="10"/>
  <c r="CR135" i="10"/>
  <c r="CQ121" i="10"/>
  <c r="CQ132" i="10"/>
  <c r="CQ137" i="10"/>
  <c r="CQ138" i="10"/>
  <c r="CR129" i="10"/>
  <c r="CQ128" i="10"/>
  <c r="CR133" i="10"/>
  <c r="CQ134" i="10"/>
  <c r="CR121" i="10"/>
  <c r="CQ136" i="10"/>
  <c r="CQ131" i="10"/>
  <c r="CR138" i="10"/>
  <c r="CQ129" i="10"/>
  <c r="CR140" i="10"/>
  <c r="CR127" i="10"/>
  <c r="CQ127" i="10"/>
  <c r="CR142" i="10"/>
  <c r="CQ147" i="10"/>
  <c r="CQ133" i="10"/>
  <c r="CR132" i="10"/>
  <c r="CR137" i="10"/>
  <c r="CR130" i="10"/>
  <c r="CR139" i="10"/>
  <c r="CQ140" i="10"/>
  <c r="CR126" i="10"/>
  <c r="CQ126" i="10"/>
  <c r="CQ142" i="10"/>
  <c r="CR147" i="10"/>
  <c r="CQ135" i="10"/>
  <c r="CR136" i="10"/>
  <c r="CR131" i="10"/>
  <c r="CQ130" i="10"/>
  <c r="CQ139" i="10"/>
  <c r="CR128" i="10"/>
  <c r="CR141" i="10"/>
  <c r="CQ141" i="10"/>
  <c r="AH18" i="5"/>
  <c r="AJ37" i="5" s="1"/>
  <c r="AO35" i="5" s="1"/>
  <c r="Q331" i="11"/>
  <c r="P330" i="11"/>
  <c r="CQ143" i="10"/>
  <c r="CQ125" i="10"/>
  <c r="G414" i="11"/>
  <c r="I414" i="11" s="1"/>
  <c r="K414" i="11" s="1"/>
  <c r="M344" i="11"/>
  <c r="K379" i="11"/>
  <c r="M379" i="11" s="1"/>
  <c r="M380" i="11"/>
  <c r="A416" i="11"/>
  <c r="D415" i="11"/>
  <c r="C415" i="11"/>
  <c r="J415" i="11"/>
  <c r="B415" i="11"/>
  <c r="A346" i="11"/>
  <c r="J345" i="11"/>
  <c r="F345" i="11"/>
  <c r="E345" i="11"/>
  <c r="D345" i="11"/>
  <c r="I345" i="11"/>
  <c r="K377" i="11"/>
  <c r="M377" i="11" s="1"/>
  <c r="M376" i="11"/>
  <c r="K356" i="11"/>
  <c r="M356" i="11" s="1"/>
  <c r="M357" i="11"/>
  <c r="A418" i="10"/>
  <c r="D417" i="10"/>
  <c r="C417" i="10"/>
  <c r="B417" i="10"/>
  <c r="J417" i="10"/>
  <c r="AP35" i="5"/>
  <c r="AS35" i="5" s="1"/>
  <c r="AT35" i="5" s="1"/>
  <c r="AZ35" i="5" s="1"/>
  <c r="BA35" i="5" s="1"/>
  <c r="AQ35" i="5"/>
  <c r="AR35" i="5" s="1"/>
  <c r="AP36" i="5"/>
  <c r="CM122" i="10"/>
  <c r="CO123" i="10"/>
  <c r="CR123" i="10" s="1"/>
  <c r="CN123" i="10"/>
  <c r="CQ123" i="10" s="1"/>
  <c r="CP123" i="10"/>
  <c r="CM146" i="10"/>
  <c r="CO145" i="10"/>
  <c r="CR145" i="10" s="1"/>
  <c r="CN145" i="10"/>
  <c r="CQ145" i="10" s="1"/>
  <c r="CP145" i="10"/>
  <c r="K380" i="10"/>
  <c r="F349" i="10"/>
  <c r="E349" i="10"/>
  <c r="K346" i="10"/>
  <c r="K350" i="10"/>
  <c r="K345" i="10"/>
  <c r="K358" i="10"/>
  <c r="CG145" i="10"/>
  <c r="CJ144" i="10"/>
  <c r="CI144" i="10"/>
  <c r="CL144" i="10" s="1"/>
  <c r="CH144" i="10"/>
  <c r="CK144" i="10" s="1"/>
  <c r="CG126" i="10"/>
  <c r="CJ126" i="10" s="1"/>
  <c r="CH127" i="10"/>
  <c r="CK127" i="10" s="1"/>
  <c r="CI127" i="10"/>
  <c r="CL127" i="10" s="1"/>
  <c r="J349" i="10"/>
  <c r="P558" i="10"/>
  <c r="R558" i="10" s="1"/>
  <c r="P566" i="10"/>
  <c r="R566" i="10" s="1"/>
  <c r="P573" i="10"/>
  <c r="R573" i="10" s="1"/>
  <c r="T573" i="10" s="1"/>
  <c r="V573" i="10" s="1"/>
  <c r="P581" i="10"/>
  <c r="R581" i="10" s="1"/>
  <c r="T581" i="10" s="1"/>
  <c r="V581" i="10" s="1"/>
  <c r="P557" i="10"/>
  <c r="R557" i="10" s="1"/>
  <c r="P565" i="10"/>
  <c r="R565" i="10" s="1"/>
  <c r="P574" i="10"/>
  <c r="R574" i="10" s="1"/>
  <c r="T574" i="10" s="1"/>
  <c r="V574" i="10" s="1"/>
  <c r="P582" i="10"/>
  <c r="R582" i="10" s="1"/>
  <c r="T582" i="10" s="1"/>
  <c r="V582" i="10" s="1"/>
  <c r="P586" i="10"/>
  <c r="R586" i="10" s="1"/>
  <c r="T586" i="10" s="1"/>
  <c r="V586" i="10" s="1"/>
  <c r="P594" i="10"/>
  <c r="R594" i="10" s="1"/>
  <c r="T594" i="10" s="1"/>
  <c r="V594" i="10" s="1"/>
  <c r="P602" i="10"/>
  <c r="R602" i="10" s="1"/>
  <c r="T602" i="10" s="1"/>
  <c r="V602" i="10" s="1"/>
  <c r="P609" i="10"/>
  <c r="R609" i="10" s="1"/>
  <c r="T609" i="10" s="1"/>
  <c r="V609" i="10" s="1"/>
  <c r="P585" i="10"/>
  <c r="R585" i="10" s="1"/>
  <c r="T585" i="10" s="1"/>
  <c r="V585" i="10" s="1"/>
  <c r="P593" i="10"/>
  <c r="R593" i="10" s="1"/>
  <c r="T593" i="10" s="1"/>
  <c r="V593" i="10" s="1"/>
  <c r="P604" i="10"/>
  <c r="R604" i="10" s="1"/>
  <c r="T604" i="10" s="1"/>
  <c r="V604" i="10" s="1"/>
  <c r="P635" i="10"/>
  <c r="R635" i="10" s="1"/>
  <c r="T635" i="10" s="1"/>
  <c r="V635" i="10" s="1"/>
  <c r="P611" i="10"/>
  <c r="R611" i="10" s="1"/>
  <c r="T611" i="10" s="1"/>
  <c r="V611" i="10" s="1"/>
  <c r="P619" i="10"/>
  <c r="R619" i="10" s="1"/>
  <c r="T619" i="10" s="1"/>
  <c r="V619" i="10" s="1"/>
  <c r="P627" i="10"/>
  <c r="R627" i="10" s="1"/>
  <c r="T627" i="10" s="1"/>
  <c r="V627" i="10" s="1"/>
  <c r="P632" i="10"/>
  <c r="R632" i="10" s="1"/>
  <c r="T632" i="10" s="1"/>
  <c r="V632" i="10" s="1"/>
  <c r="P622" i="10"/>
  <c r="R622" i="10" s="1"/>
  <c r="T622" i="10" s="1"/>
  <c r="V622" i="10" s="1"/>
  <c r="P616" i="10"/>
  <c r="R616" i="10" s="1"/>
  <c r="T616" i="10" s="1"/>
  <c r="V616" i="10" s="1"/>
  <c r="P638" i="10"/>
  <c r="R638" i="10" s="1"/>
  <c r="T638" i="10" s="1"/>
  <c r="V638" i="10" s="1"/>
  <c r="P640" i="10"/>
  <c r="R640" i="10" s="1"/>
  <c r="T640" i="10" s="1"/>
  <c r="V640" i="10" s="1"/>
  <c r="AO36" i="5"/>
  <c r="AO37" i="5"/>
  <c r="AP37" i="5"/>
  <c r="AS37" i="5" s="1"/>
  <c r="AT37" i="5" s="1"/>
  <c r="AZ37" i="5" s="1"/>
  <c r="BA37" i="5" s="1"/>
  <c r="AQ37" i="5"/>
  <c r="AR37" i="5" s="1"/>
  <c r="AQ36" i="5"/>
  <c r="AR36" i="5" s="1"/>
  <c r="AS36" i="5"/>
  <c r="AT36" i="5" s="1"/>
  <c r="AZ36" i="5" s="1"/>
  <c r="BA36" i="5" s="1"/>
  <c r="AM39" i="5"/>
  <c r="AL38" i="5"/>
  <c r="P60" i="2"/>
  <c r="P59" i="2"/>
  <c r="P58" i="2"/>
  <c r="N60" i="2"/>
  <c r="N59" i="2"/>
  <c r="N58" i="2"/>
  <c r="L60" i="2"/>
  <c r="L59" i="2"/>
  <c r="L58" i="2"/>
  <c r="Q60" i="2"/>
  <c r="Q59" i="2"/>
  <c r="Q58" i="2"/>
  <c r="O60" i="2"/>
  <c r="O59" i="2"/>
  <c r="O58" i="2"/>
  <c r="M60" i="2"/>
  <c r="M59" i="2"/>
  <c r="M58" i="2"/>
  <c r="K60" i="2"/>
  <c r="K59" i="2"/>
  <c r="K58" i="2"/>
  <c r="J58" i="2"/>
  <c r="J59" i="2"/>
  <c r="J60" i="2"/>
  <c r="I60" i="2"/>
  <c r="I59" i="2"/>
  <c r="I58" i="2"/>
  <c r="G60" i="2"/>
  <c r="G59" i="2"/>
  <c r="G58" i="2"/>
  <c r="E60" i="2"/>
  <c r="E59" i="2"/>
  <c r="E58" i="2"/>
  <c r="C59" i="2"/>
  <c r="C60" i="2"/>
  <c r="C58" i="2"/>
  <c r="H59" i="2"/>
  <c r="H60" i="2"/>
  <c r="H58" i="2"/>
  <c r="B59" i="2"/>
  <c r="D58" i="2"/>
  <c r="F59" i="2"/>
  <c r="F60" i="2"/>
  <c r="F58" i="2"/>
  <c r="D59" i="2"/>
  <c r="D60" i="2"/>
  <c r="B60" i="2"/>
  <c r="B58" i="2"/>
  <c r="K365" i="10" l="1"/>
  <c r="K353" i="10"/>
  <c r="P628" i="10"/>
  <c r="R628" i="10" s="1"/>
  <c r="T628" i="10" s="1"/>
  <c r="V628" i="10" s="1"/>
  <c r="P614" i="10"/>
  <c r="R614" i="10" s="1"/>
  <c r="T614" i="10" s="1"/>
  <c r="V614" i="10" s="1"/>
  <c r="P641" i="10"/>
  <c r="R641" i="10" s="1"/>
  <c r="T641" i="10" s="1"/>
  <c r="V641" i="10" s="1"/>
  <c r="P601" i="10"/>
  <c r="R601" i="10" s="1"/>
  <c r="T601" i="10" s="1"/>
  <c r="V601" i="10" s="1"/>
  <c r="P583" i="10"/>
  <c r="R583" i="10" s="1"/>
  <c r="T583" i="10" s="1"/>
  <c r="V583" i="10" s="1"/>
  <c r="P600" i="10"/>
  <c r="R600" i="10" s="1"/>
  <c r="T600" i="10" s="1"/>
  <c r="V600" i="10" s="1"/>
  <c r="P584" i="10"/>
  <c r="R584" i="10" s="1"/>
  <c r="T584" i="10" s="1"/>
  <c r="V584" i="10" s="1"/>
  <c r="P563" i="10"/>
  <c r="R563" i="10" s="1"/>
  <c r="P579" i="10"/>
  <c r="R579" i="10" s="1"/>
  <c r="T579" i="10" s="1"/>
  <c r="V579" i="10" s="1"/>
  <c r="P564" i="10"/>
  <c r="R564" i="10" s="1"/>
  <c r="C675" i="10" s="1"/>
  <c r="K344" i="10"/>
  <c r="K347" i="10"/>
  <c r="K360" i="10"/>
  <c r="P636" i="10"/>
  <c r="R636" i="10" s="1"/>
  <c r="T636" i="10" s="1"/>
  <c r="V636" i="10" s="1"/>
  <c r="P625" i="10"/>
  <c r="R625" i="10" s="1"/>
  <c r="T625" i="10" s="1"/>
  <c r="V625" i="10" s="1"/>
  <c r="P591" i="10"/>
  <c r="R591" i="10" s="1"/>
  <c r="T591" i="10" s="1"/>
  <c r="V591" i="10" s="1"/>
  <c r="P572" i="10"/>
  <c r="R572" i="10" s="1"/>
  <c r="T572" i="10" s="1"/>
  <c r="V572" i="10" s="1"/>
  <c r="K396" i="10"/>
  <c r="P624" i="10"/>
  <c r="R624" i="10" s="1"/>
  <c r="T624" i="10" s="1"/>
  <c r="V624" i="10" s="1"/>
  <c r="P618" i="10"/>
  <c r="R618" i="10" s="1"/>
  <c r="T618" i="10" s="1"/>
  <c r="V618" i="10" s="1"/>
  <c r="P630" i="10"/>
  <c r="R630" i="10" s="1"/>
  <c r="T630" i="10" s="1"/>
  <c r="V630" i="10" s="1"/>
  <c r="P642" i="10"/>
  <c r="R642" i="10" s="1"/>
  <c r="T642" i="10" s="1"/>
  <c r="V642" i="10" s="1"/>
  <c r="P631" i="10"/>
  <c r="R631" i="10" s="1"/>
  <c r="T631" i="10" s="1"/>
  <c r="V631" i="10" s="1"/>
  <c r="P623" i="10"/>
  <c r="R623" i="10" s="1"/>
  <c r="T623" i="10" s="1"/>
  <c r="V623" i="10" s="1"/>
  <c r="P615" i="10"/>
  <c r="R615" i="10" s="1"/>
  <c r="T615" i="10" s="1"/>
  <c r="V615" i="10" s="1"/>
  <c r="P639" i="10"/>
  <c r="R639" i="10" s="1"/>
  <c r="T639" i="10" s="1"/>
  <c r="V639" i="10" s="1"/>
  <c r="P608" i="10"/>
  <c r="R608" i="10" s="1"/>
  <c r="T608" i="10" s="1"/>
  <c r="V608" i="10" s="1"/>
  <c r="P597" i="10"/>
  <c r="R597" i="10" s="1"/>
  <c r="T597" i="10" s="1"/>
  <c r="V597" i="10" s="1"/>
  <c r="P589" i="10"/>
  <c r="R589" i="10" s="1"/>
  <c r="T589" i="10" s="1"/>
  <c r="V589" i="10" s="1"/>
  <c r="P553" i="10"/>
  <c r="R553" i="10" s="1"/>
  <c r="T553" i="10" s="1"/>
  <c r="V553" i="10" s="1"/>
  <c r="P605" i="10"/>
  <c r="R605" i="10" s="1"/>
  <c r="T605" i="10" s="1"/>
  <c r="V605" i="10" s="1"/>
  <c r="P598" i="10"/>
  <c r="R598" i="10" s="1"/>
  <c r="T598" i="10" s="1"/>
  <c r="V598" i="10" s="1"/>
  <c r="P590" i="10"/>
  <c r="R590" i="10" s="1"/>
  <c r="T590" i="10" s="1"/>
  <c r="V590" i="10" s="1"/>
  <c r="P555" i="10"/>
  <c r="R555" i="10" s="1"/>
  <c r="U555" i="10" s="1"/>
  <c r="X555" i="10" s="1"/>
  <c r="P578" i="10"/>
  <c r="R578" i="10" s="1"/>
  <c r="T578" i="10" s="1"/>
  <c r="V578" i="10" s="1"/>
  <c r="P570" i="10"/>
  <c r="R570" i="10" s="1"/>
  <c r="T570" i="10" s="1"/>
  <c r="V570" i="10" s="1"/>
  <c r="P561" i="10"/>
  <c r="R561" i="10" s="1"/>
  <c r="P552" i="10"/>
  <c r="R552" i="10" s="1"/>
  <c r="T552" i="10" s="1"/>
  <c r="V552" i="10" s="1"/>
  <c r="P577" i="10"/>
  <c r="R577" i="10" s="1"/>
  <c r="T577" i="10" s="1"/>
  <c r="V577" i="10" s="1"/>
  <c r="P569" i="10"/>
  <c r="R569" i="10" s="1"/>
  <c r="P562" i="10"/>
  <c r="R562" i="10" s="1"/>
  <c r="P548" i="10"/>
  <c r="R548" i="10" s="1"/>
  <c r="T548" i="10" s="1"/>
  <c r="V548" i="10" s="1"/>
  <c r="K363" i="10"/>
  <c r="K364" i="10"/>
  <c r="K351" i="10"/>
  <c r="K355" i="10"/>
  <c r="K354" i="10"/>
  <c r="K373" i="10"/>
  <c r="K372" i="10" s="1"/>
  <c r="P634" i="10"/>
  <c r="R634" i="10" s="1"/>
  <c r="T634" i="10" s="1"/>
  <c r="V634" i="10" s="1"/>
  <c r="P612" i="10"/>
  <c r="R612" i="10" s="1"/>
  <c r="T612" i="10" s="1"/>
  <c r="V612" i="10" s="1"/>
  <c r="P617" i="10"/>
  <c r="R617" i="10" s="1"/>
  <c r="T617" i="10" s="1"/>
  <c r="V617" i="10" s="1"/>
  <c r="P599" i="10"/>
  <c r="R599" i="10" s="1"/>
  <c r="T599" i="10" s="1"/>
  <c r="V599" i="10" s="1"/>
  <c r="P607" i="10"/>
  <c r="R607" i="10" s="1"/>
  <c r="T607" i="10" s="1"/>
  <c r="V607" i="10" s="1"/>
  <c r="P592" i="10"/>
  <c r="R592" i="10" s="1"/>
  <c r="T592" i="10" s="1"/>
  <c r="V592" i="10" s="1"/>
  <c r="P580" i="10"/>
  <c r="R580" i="10" s="1"/>
  <c r="T580" i="10" s="1"/>
  <c r="V580" i="10" s="1"/>
  <c r="P554" i="10"/>
  <c r="R554" i="10" s="1"/>
  <c r="P571" i="10"/>
  <c r="R571" i="10" s="1"/>
  <c r="T571" i="10" s="1"/>
  <c r="V571" i="10" s="1"/>
  <c r="P556" i="10"/>
  <c r="R556" i="10" s="1"/>
  <c r="C667" i="10" s="1"/>
  <c r="K349" i="10"/>
  <c r="K359" i="10"/>
  <c r="K352" i="10"/>
  <c r="P620" i="10"/>
  <c r="R620" i="10" s="1"/>
  <c r="T620" i="10" s="1"/>
  <c r="V620" i="10" s="1"/>
  <c r="P610" i="10"/>
  <c r="R610" i="10" s="1"/>
  <c r="T610" i="10" s="1"/>
  <c r="V610" i="10" s="1"/>
  <c r="P626" i="10"/>
  <c r="R626" i="10" s="1"/>
  <c r="T626" i="10" s="1"/>
  <c r="V626" i="10" s="1"/>
  <c r="P633" i="10"/>
  <c r="R633" i="10" s="1"/>
  <c r="T633" i="10" s="1"/>
  <c r="V633" i="10" s="1"/>
  <c r="P629" i="10"/>
  <c r="R629" i="10" s="1"/>
  <c r="T629" i="10" s="1"/>
  <c r="V629" i="10" s="1"/>
  <c r="P621" i="10"/>
  <c r="R621" i="10" s="1"/>
  <c r="T621" i="10" s="1"/>
  <c r="V621" i="10" s="1"/>
  <c r="P613" i="10"/>
  <c r="R613" i="10" s="1"/>
  <c r="T613" i="10" s="1"/>
  <c r="V613" i="10" s="1"/>
  <c r="P637" i="10"/>
  <c r="R637" i="10" s="1"/>
  <c r="T637" i="10" s="1"/>
  <c r="V637" i="10" s="1"/>
  <c r="P606" i="10"/>
  <c r="R606" i="10" s="1"/>
  <c r="T606" i="10" s="1"/>
  <c r="V606" i="10" s="1"/>
  <c r="P595" i="10"/>
  <c r="R595" i="10" s="1"/>
  <c r="T595" i="10" s="1"/>
  <c r="V595" i="10" s="1"/>
  <c r="P587" i="10"/>
  <c r="R587" i="10" s="1"/>
  <c r="T587" i="10" s="1"/>
  <c r="V587" i="10" s="1"/>
  <c r="P549" i="10"/>
  <c r="R549" i="10" s="1"/>
  <c r="T549" i="10" s="1"/>
  <c r="V549" i="10" s="1"/>
  <c r="P603" i="10"/>
  <c r="R603" i="10" s="1"/>
  <c r="T603" i="10" s="1"/>
  <c r="V603" i="10" s="1"/>
  <c r="P596" i="10"/>
  <c r="R596" i="10" s="1"/>
  <c r="T596" i="10" s="1"/>
  <c r="V596" i="10" s="1"/>
  <c r="P588" i="10"/>
  <c r="R588" i="10" s="1"/>
  <c r="T588" i="10" s="1"/>
  <c r="V588" i="10" s="1"/>
  <c r="P551" i="10"/>
  <c r="R551" i="10" s="1"/>
  <c r="P576" i="10"/>
  <c r="R576" i="10" s="1"/>
  <c r="T576" i="10" s="1"/>
  <c r="V576" i="10" s="1"/>
  <c r="P567" i="10"/>
  <c r="R567" i="10" s="1"/>
  <c r="P559" i="10"/>
  <c r="R559" i="10" s="1"/>
  <c r="P550" i="10"/>
  <c r="R550" i="10" s="1"/>
  <c r="P575" i="10"/>
  <c r="R575" i="10" s="1"/>
  <c r="T575" i="10" s="1"/>
  <c r="V575" i="10" s="1"/>
  <c r="P568" i="10"/>
  <c r="R568" i="10" s="1"/>
  <c r="P560" i="10"/>
  <c r="R560" i="10" s="1"/>
  <c r="B331" i="10"/>
  <c r="K348" i="10"/>
  <c r="K361" i="10"/>
  <c r="K356" i="10"/>
  <c r="K362" i="10"/>
  <c r="K374" i="10"/>
  <c r="K375" i="10" s="1"/>
  <c r="F446" i="10"/>
  <c r="F424" i="10"/>
  <c r="F423" i="10"/>
  <c r="F433" i="10"/>
  <c r="F432" i="10"/>
  <c r="F440" i="10"/>
  <c r="F426" i="10"/>
  <c r="F442" i="10"/>
  <c r="F419" i="10"/>
  <c r="F418" i="10"/>
  <c r="L390" i="10"/>
  <c r="L396" i="10"/>
  <c r="L380" i="10"/>
  <c r="L381" i="10"/>
  <c r="L375" i="10"/>
  <c r="L379" i="10"/>
  <c r="L368" i="10"/>
  <c r="L363" i="10"/>
  <c r="L344" i="10"/>
  <c r="L359" i="10"/>
  <c r="L357" i="10"/>
  <c r="L364" i="10"/>
  <c r="L354" i="10"/>
  <c r="O552" i="10"/>
  <c r="Q552" i="10" s="1"/>
  <c r="D663" i="10" s="1"/>
  <c r="O561" i="10"/>
  <c r="Q561" i="10" s="1"/>
  <c r="O570" i="10"/>
  <c r="Q570" i="10" s="1"/>
  <c r="O578" i="10"/>
  <c r="Q578" i="10" s="1"/>
  <c r="S578" i="10" s="1"/>
  <c r="W578" i="10" s="1"/>
  <c r="O553" i="10"/>
  <c r="Q553" i="10" s="1"/>
  <c r="U553" i="10" s="1"/>
  <c r="X553" i="10" s="1"/>
  <c r="O560" i="10"/>
  <c r="Q560" i="10" s="1"/>
  <c r="O568" i="10"/>
  <c r="Q568" i="10" s="1"/>
  <c r="O583" i="10"/>
  <c r="Q583" i="10" s="1"/>
  <c r="S583" i="10" s="1"/>
  <c r="W583" i="10" s="1"/>
  <c r="O591" i="10"/>
  <c r="Q591" i="10" s="1"/>
  <c r="S591" i="10" s="1"/>
  <c r="W591" i="10" s="1"/>
  <c r="O599" i="10"/>
  <c r="Q599" i="10" s="1"/>
  <c r="O573" i="10"/>
  <c r="Q573" i="10" s="1"/>
  <c r="O586" i="10"/>
  <c r="Q586" i="10" s="1"/>
  <c r="U586" i="10" s="1"/>
  <c r="X586" i="10" s="1"/>
  <c r="O615" i="10"/>
  <c r="Q615" i="10" s="1"/>
  <c r="S615" i="10" s="1"/>
  <c r="W615" i="10" s="1"/>
  <c r="O623" i="10"/>
  <c r="Q623" i="10" s="1"/>
  <c r="O631" i="10"/>
  <c r="Q631" i="10" s="1"/>
  <c r="O596" i="10"/>
  <c r="Q596" i="10" s="1"/>
  <c r="S596" i="10" s="1"/>
  <c r="W596" i="10" s="1"/>
  <c r="O590" i="10"/>
  <c r="Q590" i="10" s="1"/>
  <c r="U590" i="10" s="1"/>
  <c r="X590" i="10" s="1"/>
  <c r="O610" i="10"/>
  <c r="Q610" i="10" s="1"/>
  <c r="O618" i="10"/>
  <c r="Q618" i="10" s="1"/>
  <c r="O626" i="10"/>
  <c r="Q626" i="10" s="1"/>
  <c r="U626" i="10" s="1"/>
  <c r="X626" i="10" s="1"/>
  <c r="O636" i="10"/>
  <c r="Q636" i="10" s="1"/>
  <c r="U636" i="10" s="1"/>
  <c r="X636" i="10" s="1"/>
  <c r="O634" i="10"/>
  <c r="Q634" i="10" s="1"/>
  <c r="O642" i="10"/>
  <c r="Q642" i="10" s="1"/>
  <c r="O640" i="10"/>
  <c r="Q640" i="10" s="1"/>
  <c r="S640" i="10" s="1"/>
  <c r="W640" i="10" s="1"/>
  <c r="F429" i="10"/>
  <c r="F417" i="10"/>
  <c r="F439" i="10"/>
  <c r="F434" i="10"/>
  <c r="F422" i="10"/>
  <c r="L387" i="10"/>
  <c r="L386" i="10"/>
  <c r="L376" i="10"/>
  <c r="P220" i="10"/>
  <c r="L347" i="10"/>
  <c r="L350" i="10"/>
  <c r="O550" i="10"/>
  <c r="Q550" i="10" s="1"/>
  <c r="S550" i="10" s="1"/>
  <c r="W550" i="10" s="1"/>
  <c r="O567" i="10"/>
  <c r="Q567" i="10" s="1"/>
  <c r="U567" i="10" s="1"/>
  <c r="X567" i="10" s="1"/>
  <c r="O551" i="10"/>
  <c r="Q551" i="10" s="1"/>
  <c r="O566" i="10"/>
  <c r="Q566" i="10" s="1"/>
  <c r="O589" i="10"/>
  <c r="Q589" i="10" s="1"/>
  <c r="S589" i="10" s="1"/>
  <c r="W589" i="10" s="1"/>
  <c r="O601" i="10"/>
  <c r="Q601" i="10" s="1"/>
  <c r="U601" i="10" s="1"/>
  <c r="X601" i="10" s="1"/>
  <c r="O621" i="10"/>
  <c r="Q621" i="10" s="1"/>
  <c r="O629" i="10"/>
  <c r="Q629" i="10" s="1"/>
  <c r="O575" i="10"/>
  <c r="Q575" i="10" s="1"/>
  <c r="O616" i="10"/>
  <c r="Q616" i="10" s="1"/>
  <c r="S616" i="10" s="1"/>
  <c r="W616" i="10" s="1"/>
  <c r="O609" i="10"/>
  <c r="Q609" i="10" s="1"/>
  <c r="F447" i="10"/>
  <c r="F415" i="10"/>
  <c r="F450" i="10"/>
  <c r="F430" i="10"/>
  <c r="F428" i="10"/>
  <c r="F421" i="10"/>
  <c r="F416" i="10"/>
  <c r="F443" i="10"/>
  <c r="F449" i="10"/>
  <c r="L394" i="10"/>
  <c r="L391" i="10"/>
  <c r="L389" i="10"/>
  <c r="L385" i="10"/>
  <c r="L369" i="10"/>
  <c r="L373" i="10"/>
  <c r="L377" i="10"/>
  <c r="L374" i="10"/>
  <c r="L346" i="10"/>
  <c r="L356" i="10"/>
  <c r="L365" i="10"/>
  <c r="L348" i="10"/>
  <c r="L349" i="10"/>
  <c r="L352" i="10"/>
  <c r="O554" i="10"/>
  <c r="Q554" i="10" s="1"/>
  <c r="O563" i="10"/>
  <c r="Q563" i="10" s="1"/>
  <c r="O572" i="10"/>
  <c r="Q572" i="10" s="1"/>
  <c r="U572" i="10" s="1"/>
  <c r="X572" i="10" s="1"/>
  <c r="O580" i="10"/>
  <c r="Q580" i="10" s="1"/>
  <c r="U580" i="10" s="1"/>
  <c r="X580" i="10" s="1"/>
  <c r="O555" i="10"/>
  <c r="Q555" i="10" s="1"/>
  <c r="O562" i="10"/>
  <c r="Q562" i="10" s="1"/>
  <c r="O577" i="10"/>
  <c r="Q577" i="10" s="1"/>
  <c r="U577" i="10" s="1"/>
  <c r="X577" i="10" s="1"/>
  <c r="O585" i="10"/>
  <c r="Q585" i="10" s="1"/>
  <c r="U585" i="10" s="1"/>
  <c r="X585" i="10" s="1"/>
  <c r="O593" i="10"/>
  <c r="Q593" i="10" s="1"/>
  <c r="O604" i="10"/>
  <c r="Q604" i="10" s="1"/>
  <c r="O581" i="10"/>
  <c r="Q581" i="10" s="1"/>
  <c r="U581" i="10" s="1"/>
  <c r="X581" i="10" s="1"/>
  <c r="O594" i="10"/>
  <c r="Q594" i="10" s="1"/>
  <c r="S594" i="10" s="1"/>
  <c r="W594" i="10" s="1"/>
  <c r="O617" i="10"/>
  <c r="Q617" i="10" s="1"/>
  <c r="O625" i="10"/>
  <c r="Q625" i="10" s="1"/>
  <c r="O633" i="10"/>
  <c r="Q633" i="10" s="1"/>
  <c r="S633" i="10" s="1"/>
  <c r="W633" i="10" s="1"/>
  <c r="O602" i="10"/>
  <c r="Q602" i="10" s="1"/>
  <c r="S602" i="10" s="1"/>
  <c r="W602" i="10" s="1"/>
  <c r="O598" i="10"/>
  <c r="Q598" i="10" s="1"/>
  <c r="O612" i="10"/>
  <c r="Q612" i="10" s="1"/>
  <c r="O620" i="10"/>
  <c r="Q620" i="10" s="1"/>
  <c r="O628" i="10"/>
  <c r="Q628" i="10" s="1"/>
  <c r="S628" i="10" s="1"/>
  <c r="W628" i="10" s="1"/>
  <c r="O639" i="10"/>
  <c r="Q639" i="10" s="1"/>
  <c r="O638" i="10"/>
  <c r="Q638" i="10" s="1"/>
  <c r="O600" i="10"/>
  <c r="Q600" i="10" s="1"/>
  <c r="O592" i="10"/>
  <c r="Q592" i="10" s="1"/>
  <c r="U592" i="10" s="1"/>
  <c r="X592" i="10" s="1"/>
  <c r="O569" i="10"/>
  <c r="Q569" i="10" s="1"/>
  <c r="O588" i="10"/>
  <c r="Q588" i="10" s="1"/>
  <c r="O624" i="10"/>
  <c r="Q624" i="10" s="1"/>
  <c r="S624" i="10" s="1"/>
  <c r="W624" i="10" s="1"/>
  <c r="O635" i="10"/>
  <c r="Q635" i="10" s="1"/>
  <c r="S635" i="10" s="1"/>
  <c r="W635" i="10" s="1"/>
  <c r="F448" i="10"/>
  <c r="F414" i="10"/>
  <c r="F436" i="10"/>
  <c r="F420" i="10"/>
  <c r="F438" i="10"/>
  <c r="F445" i="10"/>
  <c r="F441" i="10"/>
  <c r="F444" i="10"/>
  <c r="F431" i="10"/>
  <c r="L383" i="10"/>
  <c r="L395" i="10"/>
  <c r="L382" i="10"/>
  <c r="L393" i="10"/>
  <c r="L372" i="10"/>
  <c r="L366" i="10"/>
  <c r="L370" i="10"/>
  <c r="L371" i="10"/>
  <c r="L360" i="10"/>
  <c r="L358" i="10"/>
  <c r="L362" i="10"/>
  <c r="L351" i="10"/>
  <c r="L345" i="10"/>
  <c r="B330" i="10"/>
  <c r="G252" i="10" s="1"/>
  <c r="B305" i="10" s="1"/>
  <c r="O557" i="10"/>
  <c r="Q557" i="10" s="1"/>
  <c r="S557" i="10" s="1"/>
  <c r="W557" i="10" s="1"/>
  <c r="O565" i="10"/>
  <c r="Q565" i="10" s="1"/>
  <c r="O574" i="10"/>
  <c r="Q574" i="10" s="1"/>
  <c r="O549" i="10"/>
  <c r="Q549" i="10" s="1"/>
  <c r="S549" i="10" s="1"/>
  <c r="W549" i="10" s="1"/>
  <c r="O556" i="10"/>
  <c r="Q556" i="10" s="1"/>
  <c r="D667" i="10" s="1"/>
  <c r="O564" i="10"/>
  <c r="Q564" i="10" s="1"/>
  <c r="O571" i="10"/>
  <c r="Q571" i="10" s="1"/>
  <c r="O587" i="10"/>
  <c r="Q587" i="10" s="1"/>
  <c r="U587" i="10" s="1"/>
  <c r="X587" i="10" s="1"/>
  <c r="O595" i="10"/>
  <c r="Q595" i="10" s="1"/>
  <c r="S595" i="10" s="1"/>
  <c r="W595" i="10" s="1"/>
  <c r="O606" i="10"/>
  <c r="Q606" i="10" s="1"/>
  <c r="O582" i="10"/>
  <c r="Q582" i="10" s="1"/>
  <c r="O611" i="10"/>
  <c r="Q611" i="10" s="1"/>
  <c r="U611" i="10" s="1"/>
  <c r="X611" i="10" s="1"/>
  <c r="O619" i="10"/>
  <c r="Q619" i="10" s="1"/>
  <c r="U619" i="10" s="1"/>
  <c r="X619" i="10" s="1"/>
  <c r="O627" i="10"/>
  <c r="Q627" i="10" s="1"/>
  <c r="O548" i="10"/>
  <c r="Q548" i="10" s="1"/>
  <c r="O607" i="10"/>
  <c r="Q607" i="10" s="1"/>
  <c r="S607" i="10" s="1"/>
  <c r="W607" i="10" s="1"/>
  <c r="O605" i="10"/>
  <c r="Q605" i="10" s="1"/>
  <c r="U605" i="10" s="1"/>
  <c r="X605" i="10" s="1"/>
  <c r="O614" i="10"/>
  <c r="Q614" i="10" s="1"/>
  <c r="O622" i="10"/>
  <c r="Q622" i="10" s="1"/>
  <c r="O630" i="10"/>
  <c r="Q630" i="10" s="1"/>
  <c r="U630" i="10" s="1"/>
  <c r="X630" i="10" s="1"/>
  <c r="O632" i="10"/>
  <c r="Q632" i="10" s="1"/>
  <c r="U632" i="10" s="1"/>
  <c r="X632" i="10" s="1"/>
  <c r="O641" i="10"/>
  <c r="Q641" i="10" s="1"/>
  <c r="O603" i="10"/>
  <c r="Q603" i="10" s="1"/>
  <c r="F427" i="10"/>
  <c r="F437" i="10"/>
  <c r="F435" i="10"/>
  <c r="F425" i="10"/>
  <c r="L384" i="10"/>
  <c r="L392" i="10"/>
  <c r="L378" i="10"/>
  <c r="L367" i="10"/>
  <c r="L353" i="10"/>
  <c r="L355" i="10"/>
  <c r="L361" i="10"/>
  <c r="O559" i="10"/>
  <c r="Q559" i="10" s="1"/>
  <c r="O576" i="10"/>
  <c r="Q576" i="10" s="1"/>
  <c r="O558" i="10"/>
  <c r="Q558" i="10" s="1"/>
  <c r="S558" i="10" s="1"/>
  <c r="W558" i="10" s="1"/>
  <c r="O579" i="10"/>
  <c r="Q579" i="10" s="1"/>
  <c r="O597" i="10"/>
  <c r="Q597" i="10" s="1"/>
  <c r="O613" i="10"/>
  <c r="Q613" i="10" s="1"/>
  <c r="U613" i="10" s="1"/>
  <c r="X613" i="10" s="1"/>
  <c r="O608" i="10"/>
  <c r="Q608" i="10" s="1"/>
  <c r="S608" i="10" s="1"/>
  <c r="W608" i="10" s="1"/>
  <c r="O584" i="10"/>
  <c r="Q584" i="10" s="1"/>
  <c r="O637" i="10"/>
  <c r="Q637" i="10" s="1"/>
  <c r="G415" i="11"/>
  <c r="I415" i="11" s="1"/>
  <c r="K415" i="11" s="1"/>
  <c r="F389" i="11"/>
  <c r="M345" i="11"/>
  <c r="B395" i="11"/>
  <c r="B396" i="11" s="1"/>
  <c r="B389" i="11"/>
  <c r="A347" i="11"/>
  <c r="J346" i="11"/>
  <c r="F346" i="11"/>
  <c r="E346" i="11"/>
  <c r="D346" i="11"/>
  <c r="I346" i="11"/>
  <c r="D416" i="11"/>
  <c r="A417" i="11"/>
  <c r="C416" i="11"/>
  <c r="J416" i="11"/>
  <c r="B416" i="11"/>
  <c r="J389" i="11"/>
  <c r="A419" i="10"/>
  <c r="D418" i="10"/>
  <c r="C418" i="10"/>
  <c r="B418" i="10"/>
  <c r="J418" i="10"/>
  <c r="CO146" i="10"/>
  <c r="CR146" i="10" s="1"/>
  <c r="CN146" i="10"/>
  <c r="CQ146" i="10" s="1"/>
  <c r="CP146" i="10"/>
  <c r="CO122" i="10"/>
  <c r="CR122" i="10" s="1"/>
  <c r="CN122" i="10"/>
  <c r="CQ122" i="10" s="1"/>
  <c r="CP122" i="10"/>
  <c r="K381" i="10"/>
  <c r="K395" i="10"/>
  <c r="K371" i="10"/>
  <c r="F350" i="10"/>
  <c r="E350" i="10"/>
  <c r="CG146" i="10"/>
  <c r="CI145" i="10"/>
  <c r="CL145" i="10" s="1"/>
  <c r="CH145" i="10"/>
  <c r="CK145" i="10" s="1"/>
  <c r="CJ145" i="10"/>
  <c r="CG125" i="10"/>
  <c r="CJ125" i="10" s="1"/>
  <c r="CH126" i="10"/>
  <c r="CK126" i="10" s="1"/>
  <c r="CI126" i="10"/>
  <c r="CL126" i="10" s="1"/>
  <c r="J350" i="10"/>
  <c r="T567" i="10"/>
  <c r="V567" i="10" s="1"/>
  <c r="C678" i="10"/>
  <c r="T550" i="10"/>
  <c r="V550" i="10" s="1"/>
  <c r="C661" i="10"/>
  <c r="S642" i="10"/>
  <c r="W642" i="10" s="1"/>
  <c r="U612" i="10"/>
  <c r="X612" i="10" s="1"/>
  <c r="S612" i="10"/>
  <c r="W612" i="10" s="1"/>
  <c r="U625" i="10"/>
  <c r="X625" i="10" s="1"/>
  <c r="S625" i="10"/>
  <c r="W625" i="10" s="1"/>
  <c r="S593" i="10"/>
  <c r="W593" i="10" s="1"/>
  <c r="U593" i="10"/>
  <c r="X593" i="10" s="1"/>
  <c r="S577" i="10"/>
  <c r="W577" i="10" s="1"/>
  <c r="S555" i="10"/>
  <c r="W555" i="10" s="1"/>
  <c r="D666" i="10"/>
  <c r="S572" i="10"/>
  <c r="W572" i="10" s="1"/>
  <c r="S563" i="10"/>
  <c r="W563" i="10" s="1"/>
  <c r="U563" i="10"/>
  <c r="X563" i="10" s="1"/>
  <c r="D674" i="10"/>
  <c r="S554" i="10"/>
  <c r="W554" i="10" s="1"/>
  <c r="U554" i="10"/>
  <c r="X554" i="10" s="1"/>
  <c r="D665" i="10"/>
  <c r="T565" i="10"/>
  <c r="V565" i="10" s="1"/>
  <c r="C676" i="10"/>
  <c r="T557" i="10"/>
  <c r="V557" i="10" s="1"/>
  <c r="C668" i="10"/>
  <c r="T566" i="10"/>
  <c r="V566" i="10" s="1"/>
  <c r="C677" i="10"/>
  <c r="T558" i="10"/>
  <c r="V558" i="10" s="1"/>
  <c r="C669" i="10"/>
  <c r="U637" i="10"/>
  <c r="X637" i="10" s="1"/>
  <c r="S637" i="10"/>
  <c r="W637" i="10" s="1"/>
  <c r="S609" i="10"/>
  <c r="W609" i="10" s="1"/>
  <c r="U609" i="10"/>
  <c r="X609" i="10" s="1"/>
  <c r="S618" i="10"/>
  <c r="W618" i="10" s="1"/>
  <c r="U618" i="10"/>
  <c r="X618" i="10" s="1"/>
  <c r="S610" i="10"/>
  <c r="W610" i="10" s="1"/>
  <c r="U610" i="10"/>
  <c r="X610" i="10" s="1"/>
  <c r="S590" i="10"/>
  <c r="W590" i="10" s="1"/>
  <c r="U596" i="10"/>
  <c r="X596" i="10" s="1"/>
  <c r="S631" i="10"/>
  <c r="W631" i="10" s="1"/>
  <c r="U631" i="10"/>
  <c r="X631" i="10" s="1"/>
  <c r="U623" i="10"/>
  <c r="X623" i="10" s="1"/>
  <c r="S623" i="10"/>
  <c r="W623" i="10" s="1"/>
  <c r="S586" i="10"/>
  <c r="W586" i="10" s="1"/>
  <c r="U573" i="10"/>
  <c r="X573" i="10" s="1"/>
  <c r="S573" i="10"/>
  <c r="W573" i="10" s="1"/>
  <c r="S599" i="10"/>
  <c r="W599" i="10" s="1"/>
  <c r="U599" i="10"/>
  <c r="X599" i="10" s="1"/>
  <c r="U591" i="10"/>
  <c r="X591" i="10" s="1"/>
  <c r="U568" i="10"/>
  <c r="X568" i="10" s="1"/>
  <c r="S568" i="10"/>
  <c r="W568" i="10" s="1"/>
  <c r="D679" i="10"/>
  <c r="U560" i="10"/>
  <c r="X560" i="10" s="1"/>
  <c r="S560" i="10"/>
  <c r="W560" i="10" s="1"/>
  <c r="D671" i="10"/>
  <c r="S570" i="10"/>
  <c r="W570" i="10" s="1"/>
  <c r="U570" i="10"/>
  <c r="X570" i="10" s="1"/>
  <c r="S561" i="10"/>
  <c r="W561" i="10" s="1"/>
  <c r="U561" i="10"/>
  <c r="X561" i="10" s="1"/>
  <c r="D672" i="10"/>
  <c r="U552" i="10"/>
  <c r="X552" i="10" s="1"/>
  <c r="T559" i="10"/>
  <c r="V559" i="10" s="1"/>
  <c r="C670" i="10"/>
  <c r="T568" i="10"/>
  <c r="V568" i="10" s="1"/>
  <c r="C679" i="10"/>
  <c r="S639" i="10"/>
  <c r="W639" i="10" s="1"/>
  <c r="T563" i="10"/>
  <c r="V563" i="10" s="1"/>
  <c r="C674" i="10"/>
  <c r="T554" i="10"/>
  <c r="V554" i="10" s="1"/>
  <c r="C665" i="10"/>
  <c r="T564" i="10"/>
  <c r="V564" i="10" s="1"/>
  <c r="S603" i="10"/>
  <c r="W603" i="10" s="1"/>
  <c r="S641" i="10"/>
  <c r="W641" i="10" s="1"/>
  <c r="U641" i="10"/>
  <c r="X641" i="10" s="1"/>
  <c r="U584" i="10"/>
  <c r="X584" i="10" s="1"/>
  <c r="S584" i="10"/>
  <c r="W584" i="10" s="1"/>
  <c r="U624" i="10"/>
  <c r="X624" i="10" s="1"/>
  <c r="U588" i="10"/>
  <c r="X588" i="10" s="1"/>
  <c r="S588" i="10"/>
  <c r="W588" i="10" s="1"/>
  <c r="S629" i="10"/>
  <c r="W629" i="10" s="1"/>
  <c r="U621" i="10"/>
  <c r="X621" i="10" s="1"/>
  <c r="S621" i="10"/>
  <c r="W621" i="10" s="1"/>
  <c r="D680" i="10"/>
  <c r="S569" i="10"/>
  <c r="W569" i="10" s="1"/>
  <c r="U569" i="10"/>
  <c r="X569" i="10" s="1"/>
  <c r="S597" i="10"/>
  <c r="W597" i="10" s="1"/>
  <c r="U597" i="10"/>
  <c r="X597" i="10" s="1"/>
  <c r="U579" i="10"/>
  <c r="X579" i="10" s="1"/>
  <c r="S579" i="10"/>
  <c r="W579" i="10" s="1"/>
  <c r="U566" i="10"/>
  <c r="X566" i="10" s="1"/>
  <c r="S566" i="10"/>
  <c r="W566" i="10" s="1"/>
  <c r="D677" i="10"/>
  <c r="U558" i="10"/>
  <c r="X558" i="10" s="1"/>
  <c r="U551" i="10"/>
  <c r="X551" i="10" s="1"/>
  <c r="S551" i="10"/>
  <c r="W551" i="10" s="1"/>
  <c r="D662" i="10"/>
  <c r="S576" i="10"/>
  <c r="W576" i="10" s="1"/>
  <c r="S559" i="10"/>
  <c r="W559" i="10" s="1"/>
  <c r="U559" i="10"/>
  <c r="X559" i="10" s="1"/>
  <c r="D670" i="10"/>
  <c r="D661" i="10"/>
  <c r="T551" i="10"/>
  <c r="V551" i="10" s="1"/>
  <c r="C662" i="10"/>
  <c r="T560" i="10"/>
  <c r="V560" i="10" s="1"/>
  <c r="C671" i="10"/>
  <c r="U634" i="10"/>
  <c r="X634" i="10" s="1"/>
  <c r="S634" i="10"/>
  <c r="W634" i="10" s="1"/>
  <c r="U598" i="10"/>
  <c r="X598" i="10" s="1"/>
  <c r="S598" i="10"/>
  <c r="W598" i="10" s="1"/>
  <c r="S617" i="10"/>
  <c r="W617" i="10" s="1"/>
  <c r="U617" i="10"/>
  <c r="X617" i="10" s="1"/>
  <c r="S604" i="10"/>
  <c r="W604" i="10" s="1"/>
  <c r="U604" i="10"/>
  <c r="X604" i="10" s="1"/>
  <c r="U562" i="10"/>
  <c r="X562" i="10" s="1"/>
  <c r="S562" i="10"/>
  <c r="W562" i="10" s="1"/>
  <c r="D673" i="10"/>
  <c r="C666" i="10"/>
  <c r="T561" i="10"/>
  <c r="V561" i="10" s="1"/>
  <c r="C672" i="10"/>
  <c r="C663" i="10"/>
  <c r="C680" i="10"/>
  <c r="T569" i="10"/>
  <c r="V569" i="10" s="1"/>
  <c r="T562" i="10"/>
  <c r="V562" i="10" s="1"/>
  <c r="C673" i="10"/>
  <c r="S638" i="10"/>
  <c r="W638" i="10" s="1"/>
  <c r="U638" i="10"/>
  <c r="X638" i="10" s="1"/>
  <c r="U622" i="10"/>
  <c r="X622" i="10" s="1"/>
  <c r="S622" i="10"/>
  <c r="W622" i="10" s="1"/>
  <c r="S614" i="10"/>
  <c r="W614" i="10" s="1"/>
  <c r="U607" i="10"/>
  <c r="X607" i="10" s="1"/>
  <c r="U548" i="10"/>
  <c r="X548" i="10" s="1"/>
  <c r="S548" i="10"/>
  <c r="W548" i="10" s="1"/>
  <c r="U627" i="10"/>
  <c r="X627" i="10" s="1"/>
  <c r="S627" i="10"/>
  <c r="W627" i="10" s="1"/>
  <c r="S582" i="10"/>
  <c r="W582" i="10" s="1"/>
  <c r="U582" i="10"/>
  <c r="X582" i="10" s="1"/>
  <c r="S606" i="10"/>
  <c r="W606" i="10" s="1"/>
  <c r="S587" i="10"/>
  <c r="W587" i="10" s="1"/>
  <c r="U571" i="10"/>
  <c r="X571" i="10" s="1"/>
  <c r="S571" i="10"/>
  <c r="W571" i="10" s="1"/>
  <c r="S564" i="10"/>
  <c r="W564" i="10" s="1"/>
  <c r="D675" i="10"/>
  <c r="U549" i="10"/>
  <c r="X549" i="10" s="1"/>
  <c r="S574" i="10"/>
  <c r="W574" i="10" s="1"/>
  <c r="U574" i="10"/>
  <c r="X574" i="10" s="1"/>
  <c r="S565" i="10"/>
  <c r="W565" i="10" s="1"/>
  <c r="U565" i="10"/>
  <c r="X565" i="10" s="1"/>
  <c r="D676" i="10"/>
  <c r="AO38" i="5"/>
  <c r="AP38" i="5"/>
  <c r="AS38" i="5" s="1"/>
  <c r="AT38" i="5" s="1"/>
  <c r="AZ38" i="5" s="1"/>
  <c r="BA38" i="5" s="1"/>
  <c r="AQ38" i="5"/>
  <c r="AR38" i="5" s="1"/>
  <c r="AM40" i="5"/>
  <c r="AL39" i="5"/>
  <c r="AM36" i="1"/>
  <c r="U564" i="10" l="1"/>
  <c r="X564" i="10" s="1"/>
  <c r="U606" i="10"/>
  <c r="X606" i="10" s="1"/>
  <c r="T555" i="10"/>
  <c r="V555" i="10" s="1"/>
  <c r="U616" i="10"/>
  <c r="X616" i="10" s="1"/>
  <c r="T556" i="10"/>
  <c r="V556" i="10" s="1"/>
  <c r="U594" i="10"/>
  <c r="X594" i="10" s="1"/>
  <c r="S636" i="10"/>
  <c r="W636" i="10" s="1"/>
  <c r="S585" i="10"/>
  <c r="W585" i="10" s="1"/>
  <c r="U628" i="10"/>
  <c r="X628" i="10" s="1"/>
  <c r="U576" i="10"/>
  <c r="X576" i="10" s="1"/>
  <c r="U600" i="10"/>
  <c r="X600" i="10" s="1"/>
  <c r="U620" i="10"/>
  <c r="X620" i="10" s="1"/>
  <c r="U575" i="10"/>
  <c r="X575" i="10" s="1"/>
  <c r="C664" i="10"/>
  <c r="U629" i="10"/>
  <c r="X629" i="10" s="1"/>
  <c r="U615" i="10"/>
  <c r="X615" i="10" s="1"/>
  <c r="U602" i="10"/>
  <c r="X602" i="10" s="1"/>
  <c r="S556" i="10"/>
  <c r="W556" i="10" s="1"/>
  <c r="U614" i="10"/>
  <c r="X614" i="10" s="1"/>
  <c r="S567" i="10"/>
  <c r="W567" i="10" s="1"/>
  <c r="U603" i="10"/>
  <c r="X603" i="10" s="1"/>
  <c r="U639" i="10"/>
  <c r="X639" i="10" s="1"/>
  <c r="U642" i="10"/>
  <c r="X642" i="10" s="1"/>
  <c r="S611" i="10"/>
  <c r="W611" i="10" s="1"/>
  <c r="S630" i="10"/>
  <c r="W630" i="10" s="1"/>
  <c r="S600" i="10"/>
  <c r="W600" i="10" s="1"/>
  <c r="U550" i="10"/>
  <c r="X550" i="10" s="1"/>
  <c r="S613" i="10"/>
  <c r="W613" i="10" s="1"/>
  <c r="S575" i="10"/>
  <c r="W575" i="10" s="1"/>
  <c r="U578" i="10"/>
  <c r="X578" i="10" s="1"/>
  <c r="U583" i="10"/>
  <c r="X583" i="10" s="1"/>
  <c r="S581" i="10"/>
  <c r="W581" i="10" s="1"/>
  <c r="U633" i="10"/>
  <c r="X633" i="10" s="1"/>
  <c r="S620" i="10"/>
  <c r="W620" i="10" s="1"/>
  <c r="U640" i="10"/>
  <c r="X640" i="10" s="1"/>
  <c r="U589" i="10"/>
  <c r="X589" i="10" s="1"/>
  <c r="S626" i="10"/>
  <c r="W626" i="10" s="1"/>
  <c r="D668" i="10"/>
  <c r="U556" i="10"/>
  <c r="X556" i="10" s="1"/>
  <c r="U595" i="10"/>
  <c r="X595" i="10" s="1"/>
  <c r="S619" i="10"/>
  <c r="W619" i="10" s="1"/>
  <c r="S605" i="10"/>
  <c r="W605" i="10" s="1"/>
  <c r="S592" i="10"/>
  <c r="W592" i="10" s="1"/>
  <c r="S601" i="10"/>
  <c r="W601" i="10" s="1"/>
  <c r="U608" i="10"/>
  <c r="X608" i="10" s="1"/>
  <c r="S632" i="10"/>
  <c r="W632" i="10" s="1"/>
  <c r="S552" i="10"/>
  <c r="W552" i="10" s="1"/>
  <c r="D664" i="10"/>
  <c r="S580" i="10"/>
  <c r="W580" i="10" s="1"/>
  <c r="S553" i="10"/>
  <c r="W553" i="10" s="1"/>
  <c r="U635" i="10"/>
  <c r="X635" i="10" s="1"/>
  <c r="U557" i="10"/>
  <c r="X557" i="10" s="1"/>
  <c r="D678" i="10"/>
  <c r="D669" i="10"/>
  <c r="G416" i="11"/>
  <c r="I416" i="11" s="1"/>
  <c r="K416" i="11" s="1"/>
  <c r="M346" i="11"/>
  <c r="A348" i="11"/>
  <c r="J347" i="11"/>
  <c r="F347" i="11"/>
  <c r="E347" i="11"/>
  <c r="D347" i="11"/>
  <c r="I347" i="11"/>
  <c r="A418" i="11"/>
  <c r="D417" i="11"/>
  <c r="C417" i="11"/>
  <c r="J417" i="11"/>
  <c r="B417" i="11"/>
  <c r="R657" i="11"/>
  <c r="B397" i="11"/>
  <c r="AM37" i="1"/>
  <c r="AL36" i="1"/>
  <c r="A420" i="10"/>
  <c r="D419" i="10"/>
  <c r="C419" i="10"/>
  <c r="B419" i="10"/>
  <c r="J419" i="10"/>
  <c r="K394" i="10"/>
  <c r="K382" i="10"/>
  <c r="D380" i="10"/>
  <c r="D384" i="10"/>
  <c r="D388" i="10"/>
  <c r="D392" i="10"/>
  <c r="D396" i="10"/>
  <c r="D391" i="10"/>
  <c r="D381" i="10"/>
  <c r="D385" i="10"/>
  <c r="D389" i="10"/>
  <c r="D393" i="10"/>
  <c r="D379" i="10"/>
  <c r="D387" i="10"/>
  <c r="D395" i="10"/>
  <c r="D382" i="10"/>
  <c r="D386" i="10"/>
  <c r="D390" i="10"/>
  <c r="D394" i="10"/>
  <c r="D383" i="10"/>
  <c r="D369" i="10"/>
  <c r="D373" i="10"/>
  <c r="D377" i="10"/>
  <c r="D366" i="10"/>
  <c r="D370" i="10"/>
  <c r="D374" i="10"/>
  <c r="D378" i="10"/>
  <c r="D368" i="10"/>
  <c r="D376" i="10"/>
  <c r="D367" i="10"/>
  <c r="D371" i="10"/>
  <c r="D375" i="10"/>
  <c r="D372" i="10"/>
  <c r="K370" i="10"/>
  <c r="K376" i="10"/>
  <c r="F351" i="10"/>
  <c r="E351" i="10"/>
  <c r="D345" i="10"/>
  <c r="D349" i="10"/>
  <c r="D365" i="10"/>
  <c r="D347" i="10"/>
  <c r="D351" i="10"/>
  <c r="D346" i="10"/>
  <c r="D350" i="10"/>
  <c r="D344" i="10"/>
  <c r="D348" i="10"/>
  <c r="CH146" i="10"/>
  <c r="CK146" i="10" s="1"/>
  <c r="CI146" i="10"/>
  <c r="CL146" i="10" s="1"/>
  <c r="CJ146" i="10"/>
  <c r="CG124" i="10"/>
  <c r="CJ124" i="10" s="1"/>
  <c r="CI125" i="10"/>
  <c r="CL125" i="10" s="1"/>
  <c r="CH125" i="10"/>
  <c r="CK125" i="10" s="1"/>
  <c r="V645" i="10"/>
  <c r="G662" i="10" s="1"/>
  <c r="J351" i="10"/>
  <c r="AP39" i="5"/>
  <c r="AS39" i="5" s="1"/>
  <c r="AT39" i="5" s="1"/>
  <c r="AZ39" i="5" s="1"/>
  <c r="BA39" i="5" s="1"/>
  <c r="AO39" i="5"/>
  <c r="AQ39" i="5"/>
  <c r="AR39" i="5" s="1"/>
  <c r="AM41" i="5"/>
  <c r="AL40" i="5"/>
  <c r="AP24" i="1"/>
  <c r="BA24" i="1" s="1"/>
  <c r="AQ24" i="1"/>
  <c r="BB24" i="1" s="1"/>
  <c r="AR24" i="1"/>
  <c r="BC24" i="1" s="1"/>
  <c r="AP25" i="1"/>
  <c r="BA25" i="1" s="1"/>
  <c r="AQ25" i="1"/>
  <c r="BB25" i="1" s="1"/>
  <c r="AR25" i="1"/>
  <c r="BC25" i="1" s="1"/>
  <c r="AP26" i="1"/>
  <c r="BA26" i="1" s="1"/>
  <c r="AQ26" i="1"/>
  <c r="BB26" i="1" s="1"/>
  <c r="AR26" i="1"/>
  <c r="BC26" i="1" s="1"/>
  <c r="AO25" i="1"/>
  <c r="AZ25" i="1" s="1"/>
  <c r="AO26" i="1"/>
  <c r="AZ26" i="1" s="1"/>
  <c r="AO24" i="1"/>
  <c r="AZ24" i="1" s="1"/>
  <c r="AS25" i="1"/>
  <c r="BD25" i="1" s="1"/>
  <c r="AS26" i="1"/>
  <c r="BD26" i="1" s="1"/>
  <c r="AS24" i="1"/>
  <c r="BD24" i="1" s="1"/>
  <c r="AG352" i="1"/>
  <c r="AF352" i="1" s="1"/>
  <c r="AG353" i="1"/>
  <c r="AF353" i="1" s="1"/>
  <c r="AG354" i="1"/>
  <c r="AF354" i="1" s="1"/>
  <c r="AG355" i="1"/>
  <c r="AF355" i="1" s="1"/>
  <c r="AG356" i="1"/>
  <c r="AF356" i="1" s="1"/>
  <c r="AG357" i="1"/>
  <c r="AF357" i="1" s="1"/>
  <c r="AG358" i="1"/>
  <c r="AF358" i="1" s="1"/>
  <c r="AG359" i="1"/>
  <c r="AF359" i="1" s="1"/>
  <c r="AG360" i="1"/>
  <c r="AF360" i="1" s="1"/>
  <c r="AG361" i="1"/>
  <c r="AF361" i="1" s="1"/>
  <c r="AG362" i="1"/>
  <c r="AF362" i="1" s="1"/>
  <c r="AG363" i="1"/>
  <c r="AF363" i="1" s="1"/>
  <c r="AG364" i="1"/>
  <c r="AF364" i="1" s="1"/>
  <c r="AG365" i="1"/>
  <c r="AF365" i="1" s="1"/>
  <c r="AG366" i="1"/>
  <c r="AF366" i="1" s="1"/>
  <c r="AG367" i="1"/>
  <c r="AF367" i="1" s="1"/>
  <c r="AG368" i="1"/>
  <c r="AF368" i="1" s="1"/>
  <c r="AG369" i="1"/>
  <c r="AF369" i="1" s="1"/>
  <c r="AG370" i="1"/>
  <c r="AF370" i="1" s="1"/>
  <c r="AG371" i="1"/>
  <c r="AF371" i="1" s="1"/>
  <c r="AG372" i="1"/>
  <c r="AF372" i="1" s="1"/>
  <c r="AG373" i="1"/>
  <c r="AF373" i="1" s="1"/>
  <c r="AG374" i="1"/>
  <c r="AF374" i="1" s="1"/>
  <c r="AG375" i="1"/>
  <c r="AF375" i="1" s="1"/>
  <c r="AG376" i="1"/>
  <c r="AF376" i="1" s="1"/>
  <c r="AG377" i="1"/>
  <c r="AF377" i="1" s="1"/>
  <c r="AG378" i="1"/>
  <c r="AF378" i="1" s="1"/>
  <c r="AG379" i="1"/>
  <c r="AF379" i="1" s="1"/>
  <c r="AG351" i="1"/>
  <c r="AF351" i="1" s="1"/>
  <c r="AE347" i="1"/>
  <c r="AE51" i="1"/>
  <c r="AG56" i="1"/>
  <c r="AG57" i="1"/>
  <c r="AG58" i="1"/>
  <c r="AF58" i="1" s="1"/>
  <c r="AG59" i="1"/>
  <c r="AF59" i="1" s="1"/>
  <c r="AG60" i="1"/>
  <c r="AG61" i="1"/>
  <c r="AF61" i="1" s="1"/>
  <c r="AG62" i="1"/>
  <c r="AF62" i="1" s="1"/>
  <c r="AG63" i="1"/>
  <c r="AF63" i="1" s="1"/>
  <c r="AG64" i="1"/>
  <c r="AG65" i="1"/>
  <c r="AG66" i="1"/>
  <c r="AF66" i="1" s="1"/>
  <c r="AG67" i="1"/>
  <c r="AF67" i="1" s="1"/>
  <c r="AG68" i="1"/>
  <c r="AG69" i="1"/>
  <c r="AG70" i="1"/>
  <c r="AF70" i="1" s="1"/>
  <c r="AG71" i="1"/>
  <c r="AF71" i="1" s="1"/>
  <c r="AG72" i="1"/>
  <c r="AG73" i="1"/>
  <c r="AG74" i="1"/>
  <c r="AF74" i="1" s="1"/>
  <c r="AG75" i="1"/>
  <c r="AF75" i="1" s="1"/>
  <c r="AG76" i="1"/>
  <c r="AG77" i="1"/>
  <c r="AG78" i="1"/>
  <c r="AF78" i="1" s="1"/>
  <c r="AG79" i="1"/>
  <c r="AF79" i="1" s="1"/>
  <c r="AG80" i="1"/>
  <c r="AG81" i="1"/>
  <c r="AF81" i="1" s="1"/>
  <c r="AG82" i="1"/>
  <c r="AF82" i="1" s="1"/>
  <c r="AG83" i="1"/>
  <c r="AF83" i="1" s="1"/>
  <c r="AG55" i="1"/>
  <c r="AF55" i="1" s="1"/>
  <c r="AF56" i="1"/>
  <c r="AF57" i="1"/>
  <c r="AF60" i="1"/>
  <c r="AF64" i="1"/>
  <c r="AF65" i="1"/>
  <c r="AF68" i="1"/>
  <c r="AF69" i="1"/>
  <c r="AF72" i="1"/>
  <c r="AF73" i="1"/>
  <c r="AF76" i="1"/>
  <c r="AF77" i="1"/>
  <c r="AF80" i="1"/>
  <c r="AE14" i="1"/>
  <c r="AG18" i="1"/>
  <c r="AF18" i="1" s="1"/>
  <c r="AG25" i="1"/>
  <c r="AF25" i="1" s="1"/>
  <c r="AG26" i="1"/>
  <c r="AF26" i="1" s="1"/>
  <c r="AG27" i="1"/>
  <c r="AF27" i="1" s="1"/>
  <c r="AG28" i="1"/>
  <c r="AF28" i="1" s="1"/>
  <c r="AG29" i="1"/>
  <c r="AF29" i="1" s="1"/>
  <c r="AG30" i="1"/>
  <c r="AF30" i="1" s="1"/>
  <c r="AG31" i="1"/>
  <c r="AF31" i="1" s="1"/>
  <c r="AG32" i="1"/>
  <c r="AF32" i="1" s="1"/>
  <c r="AG33" i="1"/>
  <c r="AF33" i="1" s="1"/>
  <c r="AG34" i="1"/>
  <c r="AF34" i="1" s="1"/>
  <c r="AG35" i="1"/>
  <c r="AF35" i="1" s="1"/>
  <c r="AG36" i="1"/>
  <c r="AF36" i="1" s="1"/>
  <c r="AG37" i="1"/>
  <c r="AF37" i="1" s="1"/>
  <c r="AG38" i="1"/>
  <c r="AF38" i="1" s="1"/>
  <c r="AG39" i="1"/>
  <c r="AF39" i="1" s="1"/>
  <c r="AG40" i="1"/>
  <c r="AF40" i="1" s="1"/>
  <c r="AG41" i="1"/>
  <c r="AF41" i="1" s="1"/>
  <c r="AG42" i="1"/>
  <c r="AF42" i="1" s="1"/>
  <c r="AG43" i="1"/>
  <c r="AF43" i="1" s="1"/>
  <c r="AG44" i="1"/>
  <c r="AF44" i="1" s="1"/>
  <c r="AG45" i="1"/>
  <c r="AF45" i="1" s="1"/>
  <c r="AG46" i="1"/>
  <c r="AF46" i="1" s="1"/>
  <c r="AG19" i="1"/>
  <c r="AG20" i="1"/>
  <c r="AF20" i="1" s="1"/>
  <c r="AG21" i="1"/>
  <c r="AF21" i="1" s="1"/>
  <c r="AG22" i="1"/>
  <c r="AF22" i="1" s="1"/>
  <c r="AG23" i="1"/>
  <c r="AF23" i="1" s="1"/>
  <c r="AG24" i="1"/>
  <c r="AF24" i="1" s="1"/>
  <c r="AD347" i="1"/>
  <c r="AD310" i="1"/>
  <c r="AD125" i="1"/>
  <c r="AD88" i="1"/>
  <c r="AD51" i="1"/>
  <c r="AD14" i="1"/>
  <c r="AC569" i="1"/>
  <c r="AC532" i="1"/>
  <c r="AC495" i="1"/>
  <c r="AC458" i="1"/>
  <c r="AC421" i="1"/>
  <c r="AC384" i="1"/>
  <c r="AC347" i="1"/>
  <c r="AC310" i="1"/>
  <c r="AC273" i="1"/>
  <c r="AC236" i="1"/>
  <c r="AC199" i="1"/>
  <c r="AC162" i="1"/>
  <c r="AC125" i="1"/>
  <c r="AC88" i="1"/>
  <c r="AC51" i="1"/>
  <c r="AC14" i="1"/>
  <c r="W645" i="10" l="1"/>
  <c r="P330" i="10" s="1"/>
  <c r="X645" i="10"/>
  <c r="P332" i="10" s="1"/>
  <c r="G417" i="11"/>
  <c r="I417" i="11" s="1"/>
  <c r="K417" i="11" s="1"/>
  <c r="M347" i="11"/>
  <c r="A419" i="11"/>
  <c r="D418" i="11"/>
  <c r="C418" i="11"/>
  <c r="J418" i="11"/>
  <c r="B418" i="11"/>
  <c r="D399" i="11"/>
  <c r="D400" i="11" s="1"/>
  <c r="B399" i="11"/>
  <c r="B400" i="11" s="1"/>
  <c r="A349" i="11"/>
  <c r="J348" i="11"/>
  <c r="F348" i="11"/>
  <c r="E348" i="11"/>
  <c r="D348" i="11"/>
  <c r="I348" i="11"/>
  <c r="A421" i="10"/>
  <c r="D420" i="10"/>
  <c r="C420" i="10"/>
  <c r="B420" i="10"/>
  <c r="J420" i="10"/>
  <c r="AM38" i="1"/>
  <c r="AL37" i="1"/>
  <c r="K383" i="10"/>
  <c r="K393" i="10"/>
  <c r="K369" i="10"/>
  <c r="K377" i="10"/>
  <c r="F352" i="10"/>
  <c r="E352" i="10"/>
  <c r="D352" i="10"/>
  <c r="P331" i="10"/>
  <c r="P334" i="10" s="1"/>
  <c r="CG123" i="10"/>
  <c r="CJ123" i="10" s="1"/>
  <c r="CI124" i="10"/>
  <c r="CL124" i="10" s="1"/>
  <c r="CH124" i="10"/>
  <c r="CK124" i="10" s="1"/>
  <c r="G680" i="10"/>
  <c r="G669" i="10"/>
  <c r="G679" i="10"/>
  <c r="G677" i="10"/>
  <c r="G675" i="10"/>
  <c r="G676" i="10"/>
  <c r="G663" i="10"/>
  <c r="G673" i="10"/>
  <c r="G660" i="10"/>
  <c r="G667" i="10"/>
  <c r="G661" i="10"/>
  <c r="G664" i="10"/>
  <c r="G671" i="10"/>
  <c r="G674" i="10"/>
  <c r="G670" i="10"/>
  <c r="G672" i="10"/>
  <c r="G665" i="10"/>
  <c r="G666" i="10"/>
  <c r="G659" i="10"/>
  <c r="G668" i="10"/>
  <c r="G678" i="10"/>
  <c r="J352" i="10"/>
  <c r="I660" i="10"/>
  <c r="I664" i="10"/>
  <c r="I669" i="10"/>
  <c r="I672" i="10"/>
  <c r="I676" i="10"/>
  <c r="I680" i="10"/>
  <c r="I663" i="10"/>
  <c r="I675" i="10"/>
  <c r="I679" i="10"/>
  <c r="I659" i="10"/>
  <c r="I661" i="10"/>
  <c r="I665" i="10"/>
  <c r="I667" i="10"/>
  <c r="I673" i="10"/>
  <c r="I677" i="10"/>
  <c r="I666" i="10"/>
  <c r="I671" i="10"/>
  <c r="I662" i="10"/>
  <c r="I668" i="10"/>
  <c r="I670" i="10"/>
  <c r="I674" i="10"/>
  <c r="I678" i="10"/>
  <c r="V648" i="10"/>
  <c r="V650" i="10" s="1"/>
  <c r="F663" i="10"/>
  <c r="F666" i="10"/>
  <c r="F671" i="10"/>
  <c r="F675" i="10"/>
  <c r="F679" i="10"/>
  <c r="F662" i="10"/>
  <c r="F668" i="10"/>
  <c r="F674" i="10"/>
  <c r="F678" i="10"/>
  <c r="F660" i="10"/>
  <c r="F664" i="10"/>
  <c r="F669" i="10"/>
  <c r="F672" i="10"/>
  <c r="F676" i="10"/>
  <c r="F680" i="10"/>
  <c r="F659" i="10"/>
  <c r="F661" i="10"/>
  <c r="F665" i="10"/>
  <c r="F667" i="10"/>
  <c r="F673" i="10"/>
  <c r="F677" i="10"/>
  <c r="F670" i="10"/>
  <c r="AP40" i="5"/>
  <c r="AS40" i="5" s="1"/>
  <c r="AT40" i="5" s="1"/>
  <c r="AZ40" i="5" s="1"/>
  <c r="BA40" i="5" s="1"/>
  <c r="AO40" i="5"/>
  <c r="AM42" i="5"/>
  <c r="AL41" i="5"/>
  <c r="AQ40" i="5"/>
  <c r="AR40" i="5" s="1"/>
  <c r="AH18" i="1"/>
  <c r="AJ37" i="1" s="1"/>
  <c r="AP35" i="1" s="1"/>
  <c r="AS35" i="1" s="1"/>
  <c r="AF19" i="1"/>
  <c r="AH351" i="1"/>
  <c r="AH55" i="1"/>
  <c r="J565" i="1"/>
  <c r="J564" i="1"/>
  <c r="J563" i="1"/>
  <c r="J562" i="1"/>
  <c r="J561" i="1"/>
  <c r="J560" i="1"/>
  <c r="J559" i="1"/>
  <c r="J558" i="1"/>
  <c r="J557" i="1"/>
  <c r="J556" i="1"/>
  <c r="J555" i="1"/>
  <c r="J554" i="1"/>
  <c r="J553" i="1"/>
  <c r="J552" i="1"/>
  <c r="J551" i="1"/>
  <c r="J550" i="1"/>
  <c r="J549" i="1"/>
  <c r="J548" i="1"/>
  <c r="J547" i="1"/>
  <c r="J546" i="1"/>
  <c r="J545" i="1"/>
  <c r="J544" i="1"/>
  <c r="J543" i="1"/>
  <c r="J542" i="1"/>
  <c r="J541" i="1"/>
  <c r="J540" i="1"/>
  <c r="J539" i="1"/>
  <c r="J538" i="1"/>
  <c r="J537" i="1"/>
  <c r="J536" i="1"/>
  <c r="J535" i="1"/>
  <c r="J534" i="1"/>
  <c r="J676" i="1"/>
  <c r="J675" i="1"/>
  <c r="J674" i="1"/>
  <c r="J673" i="1"/>
  <c r="J672" i="1"/>
  <c r="J671" i="1"/>
  <c r="J670" i="1"/>
  <c r="J669" i="1"/>
  <c r="J668" i="1"/>
  <c r="J667" i="1"/>
  <c r="J666" i="1"/>
  <c r="J665" i="1"/>
  <c r="J664" i="1"/>
  <c r="J663" i="1"/>
  <c r="J662" i="1"/>
  <c r="J661" i="1"/>
  <c r="J660" i="1"/>
  <c r="J659" i="1"/>
  <c r="J658" i="1"/>
  <c r="J657" i="1"/>
  <c r="J656" i="1"/>
  <c r="J655" i="1"/>
  <c r="J654" i="1"/>
  <c r="J653" i="1"/>
  <c r="J652" i="1"/>
  <c r="J651" i="1"/>
  <c r="J650" i="1"/>
  <c r="J649" i="1"/>
  <c r="J648" i="1"/>
  <c r="J647" i="1"/>
  <c r="J646" i="1"/>
  <c r="J645" i="1"/>
  <c r="J639" i="1"/>
  <c r="J638" i="1"/>
  <c r="J637" i="1"/>
  <c r="J636" i="1"/>
  <c r="J635" i="1"/>
  <c r="J634" i="1"/>
  <c r="J633" i="1"/>
  <c r="J632" i="1"/>
  <c r="J631" i="1"/>
  <c r="J630" i="1"/>
  <c r="J629" i="1"/>
  <c r="J628" i="1"/>
  <c r="J627" i="1"/>
  <c r="J626" i="1"/>
  <c r="J625" i="1"/>
  <c r="J624" i="1"/>
  <c r="J623" i="1"/>
  <c r="J622" i="1"/>
  <c r="J621" i="1"/>
  <c r="J620" i="1"/>
  <c r="J619" i="1"/>
  <c r="J618" i="1"/>
  <c r="J617" i="1"/>
  <c r="J616" i="1"/>
  <c r="J615" i="1"/>
  <c r="J614" i="1"/>
  <c r="J613" i="1"/>
  <c r="J612" i="1"/>
  <c r="J611" i="1"/>
  <c r="J610" i="1"/>
  <c r="J609" i="1"/>
  <c r="J608" i="1"/>
  <c r="J602" i="1"/>
  <c r="J601" i="1"/>
  <c r="J600" i="1"/>
  <c r="J599" i="1"/>
  <c r="J598" i="1"/>
  <c r="J597" i="1"/>
  <c r="J596" i="1"/>
  <c r="J595" i="1"/>
  <c r="J594" i="1"/>
  <c r="J593" i="1"/>
  <c r="J592" i="1"/>
  <c r="J591" i="1"/>
  <c r="J590" i="1"/>
  <c r="J589" i="1"/>
  <c r="J588" i="1"/>
  <c r="J587" i="1"/>
  <c r="J586" i="1"/>
  <c r="J585" i="1"/>
  <c r="J584" i="1"/>
  <c r="J583" i="1"/>
  <c r="J582" i="1"/>
  <c r="J581" i="1"/>
  <c r="J580" i="1"/>
  <c r="J579" i="1"/>
  <c r="J578" i="1"/>
  <c r="J577" i="1"/>
  <c r="J576" i="1"/>
  <c r="J575" i="1"/>
  <c r="J574" i="1"/>
  <c r="J573" i="1"/>
  <c r="J572" i="1"/>
  <c r="J571" i="1"/>
  <c r="J528" i="1"/>
  <c r="J527" i="1"/>
  <c r="J526" i="1"/>
  <c r="J525" i="1"/>
  <c r="J524" i="1"/>
  <c r="J523" i="1"/>
  <c r="J522" i="1"/>
  <c r="J521" i="1"/>
  <c r="J520" i="1"/>
  <c r="J519" i="1"/>
  <c r="J518" i="1"/>
  <c r="J517" i="1"/>
  <c r="J516" i="1"/>
  <c r="J515" i="1"/>
  <c r="J514" i="1"/>
  <c r="J513" i="1"/>
  <c r="J512" i="1"/>
  <c r="J511" i="1"/>
  <c r="J510" i="1"/>
  <c r="J509" i="1"/>
  <c r="J508" i="1"/>
  <c r="J507" i="1"/>
  <c r="J506" i="1"/>
  <c r="J505" i="1"/>
  <c r="J504" i="1"/>
  <c r="J503" i="1"/>
  <c r="J502" i="1"/>
  <c r="J501" i="1"/>
  <c r="J500" i="1"/>
  <c r="J499" i="1"/>
  <c r="J498" i="1"/>
  <c r="J497" i="1"/>
  <c r="J491" i="1"/>
  <c r="J490" i="1"/>
  <c r="J489" i="1"/>
  <c r="J488" i="1"/>
  <c r="J487" i="1"/>
  <c r="J486" i="1"/>
  <c r="J485" i="1"/>
  <c r="J484" i="1"/>
  <c r="J483" i="1"/>
  <c r="J482" i="1"/>
  <c r="J481" i="1"/>
  <c r="J480" i="1"/>
  <c r="J479" i="1"/>
  <c r="J478" i="1"/>
  <c r="J477" i="1"/>
  <c r="J476" i="1"/>
  <c r="J475" i="1"/>
  <c r="J474" i="1"/>
  <c r="J473" i="1"/>
  <c r="J472" i="1"/>
  <c r="J471" i="1"/>
  <c r="J470" i="1"/>
  <c r="J469" i="1"/>
  <c r="J468" i="1"/>
  <c r="J467" i="1"/>
  <c r="J466" i="1"/>
  <c r="J465" i="1"/>
  <c r="J464" i="1"/>
  <c r="J463" i="1"/>
  <c r="J462" i="1"/>
  <c r="J461" i="1"/>
  <c r="J460" i="1"/>
  <c r="J454" i="1"/>
  <c r="J453" i="1"/>
  <c r="J452" i="1"/>
  <c r="J451" i="1"/>
  <c r="J450" i="1"/>
  <c r="J449" i="1"/>
  <c r="J448" i="1"/>
  <c r="J447" i="1"/>
  <c r="J446" i="1"/>
  <c r="J445" i="1"/>
  <c r="J444" i="1"/>
  <c r="J443" i="1"/>
  <c r="J442" i="1"/>
  <c r="J441" i="1"/>
  <c r="J440" i="1"/>
  <c r="J439" i="1"/>
  <c r="J438" i="1"/>
  <c r="J437" i="1"/>
  <c r="J436" i="1"/>
  <c r="J435" i="1"/>
  <c r="J434" i="1"/>
  <c r="J433" i="1"/>
  <c r="J432" i="1"/>
  <c r="J431" i="1"/>
  <c r="J430" i="1"/>
  <c r="J429" i="1"/>
  <c r="J428" i="1"/>
  <c r="J427" i="1"/>
  <c r="J426" i="1"/>
  <c r="J425" i="1"/>
  <c r="J424" i="1"/>
  <c r="J423" i="1"/>
  <c r="J417" i="1"/>
  <c r="J416" i="1"/>
  <c r="J415" i="1"/>
  <c r="J414" i="1"/>
  <c r="J413" i="1"/>
  <c r="J412" i="1"/>
  <c r="J411" i="1"/>
  <c r="J410" i="1"/>
  <c r="J409" i="1"/>
  <c r="J408" i="1"/>
  <c r="J407" i="1"/>
  <c r="J406" i="1"/>
  <c r="J405" i="1"/>
  <c r="J404" i="1"/>
  <c r="J403" i="1"/>
  <c r="J402" i="1"/>
  <c r="J401" i="1"/>
  <c r="J400" i="1"/>
  <c r="J399" i="1"/>
  <c r="J398" i="1"/>
  <c r="J397" i="1"/>
  <c r="J396" i="1"/>
  <c r="J395" i="1"/>
  <c r="J394" i="1"/>
  <c r="J393" i="1"/>
  <c r="J392" i="1"/>
  <c r="J391" i="1"/>
  <c r="J390" i="1"/>
  <c r="J389" i="1"/>
  <c r="J388" i="1"/>
  <c r="J387" i="1"/>
  <c r="J386" i="1"/>
  <c r="J380" i="1"/>
  <c r="J379" i="1"/>
  <c r="J378" i="1"/>
  <c r="J377" i="1"/>
  <c r="J376" i="1"/>
  <c r="J375" i="1"/>
  <c r="J374" i="1"/>
  <c r="J373" i="1"/>
  <c r="J372" i="1"/>
  <c r="J371" i="1"/>
  <c r="J370" i="1"/>
  <c r="J369" i="1"/>
  <c r="J368" i="1"/>
  <c r="J367" i="1"/>
  <c r="J366" i="1"/>
  <c r="J365" i="1"/>
  <c r="J364" i="1"/>
  <c r="J363" i="1"/>
  <c r="J362" i="1"/>
  <c r="J361" i="1"/>
  <c r="J360" i="1"/>
  <c r="J359" i="1"/>
  <c r="J358" i="1"/>
  <c r="J357" i="1"/>
  <c r="J356" i="1"/>
  <c r="J355" i="1"/>
  <c r="J354" i="1"/>
  <c r="J353" i="1"/>
  <c r="J352" i="1"/>
  <c r="J351" i="1"/>
  <c r="J350" i="1"/>
  <c r="J349" i="1"/>
  <c r="J343" i="1"/>
  <c r="J342" i="1"/>
  <c r="J341" i="1"/>
  <c r="J340" i="1"/>
  <c r="J339" i="1"/>
  <c r="J338" i="1"/>
  <c r="J337" i="1"/>
  <c r="J336" i="1"/>
  <c r="J335" i="1"/>
  <c r="J334" i="1"/>
  <c r="J333" i="1"/>
  <c r="J332" i="1"/>
  <c r="J331" i="1"/>
  <c r="J330" i="1"/>
  <c r="J329" i="1"/>
  <c r="J328" i="1"/>
  <c r="J327" i="1"/>
  <c r="J326" i="1"/>
  <c r="J325" i="1"/>
  <c r="J324" i="1"/>
  <c r="J323" i="1"/>
  <c r="J322" i="1"/>
  <c r="J321" i="1"/>
  <c r="J320" i="1"/>
  <c r="J319" i="1"/>
  <c r="J318" i="1"/>
  <c r="J317" i="1"/>
  <c r="J316" i="1"/>
  <c r="J315" i="1"/>
  <c r="J314" i="1"/>
  <c r="J313" i="1"/>
  <c r="J312" i="1"/>
  <c r="J306" i="1"/>
  <c r="J305" i="1"/>
  <c r="J304" i="1"/>
  <c r="J303" i="1"/>
  <c r="J302" i="1"/>
  <c r="J301" i="1"/>
  <c r="J300" i="1"/>
  <c r="J299" i="1"/>
  <c r="J298" i="1"/>
  <c r="J297" i="1"/>
  <c r="J296" i="1"/>
  <c r="J295" i="1"/>
  <c r="J294" i="1"/>
  <c r="J293" i="1"/>
  <c r="J292" i="1"/>
  <c r="J291" i="1"/>
  <c r="J290" i="1"/>
  <c r="J289" i="1"/>
  <c r="J288" i="1"/>
  <c r="J287" i="1"/>
  <c r="J286" i="1"/>
  <c r="J285" i="1"/>
  <c r="J284" i="1"/>
  <c r="J283" i="1"/>
  <c r="J282" i="1"/>
  <c r="J281" i="1"/>
  <c r="J280" i="1"/>
  <c r="J279" i="1"/>
  <c r="J278" i="1"/>
  <c r="J277" i="1"/>
  <c r="J276" i="1"/>
  <c r="J275" i="1"/>
  <c r="J269" i="1"/>
  <c r="J268" i="1"/>
  <c r="J267" i="1"/>
  <c r="J266" i="1"/>
  <c r="J265" i="1"/>
  <c r="J264" i="1"/>
  <c r="J263" i="1"/>
  <c r="J262" i="1"/>
  <c r="J261" i="1"/>
  <c r="J260" i="1"/>
  <c r="J259" i="1"/>
  <c r="J258" i="1"/>
  <c r="J257" i="1"/>
  <c r="J256" i="1"/>
  <c r="J255" i="1"/>
  <c r="J254" i="1"/>
  <c r="J253" i="1"/>
  <c r="J252" i="1"/>
  <c r="J251" i="1"/>
  <c r="J250" i="1"/>
  <c r="J249" i="1"/>
  <c r="J248" i="1"/>
  <c r="J247" i="1"/>
  <c r="J246" i="1"/>
  <c r="J245" i="1"/>
  <c r="J244" i="1"/>
  <c r="J243" i="1"/>
  <c r="J242" i="1"/>
  <c r="J241" i="1"/>
  <c r="J240" i="1"/>
  <c r="J239" i="1"/>
  <c r="J238" i="1"/>
  <c r="J232" i="1"/>
  <c r="J231" i="1"/>
  <c r="J230" i="1"/>
  <c r="J229" i="1"/>
  <c r="J228" i="1"/>
  <c r="J227" i="1"/>
  <c r="J226" i="1"/>
  <c r="J225" i="1"/>
  <c r="J224" i="1"/>
  <c r="J223" i="1"/>
  <c r="J222" i="1"/>
  <c r="J221" i="1"/>
  <c r="J220" i="1"/>
  <c r="J219" i="1"/>
  <c r="J218" i="1"/>
  <c r="J217" i="1"/>
  <c r="J216" i="1"/>
  <c r="J215" i="1"/>
  <c r="J214" i="1"/>
  <c r="J213" i="1"/>
  <c r="J212" i="1"/>
  <c r="J211" i="1"/>
  <c r="J210" i="1"/>
  <c r="J209" i="1"/>
  <c r="J208" i="1"/>
  <c r="J207" i="1"/>
  <c r="J206" i="1"/>
  <c r="J205" i="1"/>
  <c r="J204" i="1"/>
  <c r="J203" i="1"/>
  <c r="J202" i="1"/>
  <c r="J201" i="1"/>
  <c r="J195" i="1"/>
  <c r="J194" i="1"/>
  <c r="J193" i="1"/>
  <c r="J192" i="1"/>
  <c r="J191" i="1"/>
  <c r="J190" i="1"/>
  <c r="J189" i="1"/>
  <c r="J188" i="1"/>
  <c r="J187" i="1"/>
  <c r="J186" i="1"/>
  <c r="J185" i="1"/>
  <c r="J184" i="1"/>
  <c r="J183" i="1"/>
  <c r="J182" i="1"/>
  <c r="J181" i="1"/>
  <c r="J180" i="1"/>
  <c r="J179" i="1"/>
  <c r="J178" i="1"/>
  <c r="J177" i="1"/>
  <c r="J176" i="1"/>
  <c r="J175" i="1"/>
  <c r="J174" i="1"/>
  <c r="J173" i="1"/>
  <c r="J172" i="1"/>
  <c r="J171" i="1"/>
  <c r="J170" i="1"/>
  <c r="J169" i="1"/>
  <c r="J168" i="1"/>
  <c r="J167" i="1"/>
  <c r="J166" i="1"/>
  <c r="J165" i="1"/>
  <c r="J164" i="1"/>
  <c r="J158" i="1"/>
  <c r="J157" i="1"/>
  <c r="J156" i="1"/>
  <c r="J155" i="1"/>
  <c r="J154" i="1"/>
  <c r="J153" i="1"/>
  <c r="J152" i="1"/>
  <c r="J151" i="1"/>
  <c r="J150" i="1"/>
  <c r="J149" i="1"/>
  <c r="J148" i="1"/>
  <c r="J147" i="1"/>
  <c r="J146" i="1"/>
  <c r="J145" i="1"/>
  <c r="J144" i="1"/>
  <c r="J143" i="1"/>
  <c r="J142" i="1"/>
  <c r="J141" i="1"/>
  <c r="J140" i="1"/>
  <c r="J139" i="1"/>
  <c r="J138" i="1"/>
  <c r="J137" i="1"/>
  <c r="J136" i="1"/>
  <c r="J135" i="1"/>
  <c r="J134" i="1"/>
  <c r="J133" i="1"/>
  <c r="J132" i="1"/>
  <c r="J131" i="1"/>
  <c r="J130" i="1"/>
  <c r="J129" i="1"/>
  <c r="J128" i="1"/>
  <c r="J127" i="1"/>
  <c r="J121" i="1"/>
  <c r="J120" i="1"/>
  <c r="J119" i="1"/>
  <c r="J118" i="1"/>
  <c r="J117" i="1"/>
  <c r="J116" i="1"/>
  <c r="J115" i="1"/>
  <c r="J114" i="1"/>
  <c r="J113" i="1"/>
  <c r="J112" i="1"/>
  <c r="J111" i="1"/>
  <c r="J110" i="1"/>
  <c r="J109" i="1"/>
  <c r="J108" i="1"/>
  <c r="J107" i="1"/>
  <c r="J106" i="1"/>
  <c r="J105" i="1"/>
  <c r="J104" i="1"/>
  <c r="J103" i="1"/>
  <c r="J102" i="1"/>
  <c r="J101" i="1"/>
  <c r="J100" i="1"/>
  <c r="J99" i="1"/>
  <c r="J98" i="1"/>
  <c r="J97" i="1"/>
  <c r="J96" i="1"/>
  <c r="J95" i="1"/>
  <c r="J94" i="1"/>
  <c r="J93" i="1"/>
  <c r="J92" i="1"/>
  <c r="J91" i="1"/>
  <c r="J90" i="1"/>
  <c r="J84" i="1"/>
  <c r="J83" i="1"/>
  <c r="J82" i="1"/>
  <c r="J81" i="1"/>
  <c r="J80" i="1"/>
  <c r="J79" i="1"/>
  <c r="J78" i="1"/>
  <c r="J77" i="1"/>
  <c r="J76" i="1"/>
  <c r="J75" i="1"/>
  <c r="J74" i="1"/>
  <c r="J73" i="1"/>
  <c r="J72" i="1"/>
  <c r="J71" i="1"/>
  <c r="J70" i="1"/>
  <c r="J69" i="1"/>
  <c r="J68" i="1"/>
  <c r="J67" i="1"/>
  <c r="J66" i="1"/>
  <c r="J65" i="1"/>
  <c r="J64" i="1"/>
  <c r="J63" i="1"/>
  <c r="J62" i="1"/>
  <c r="J61" i="1"/>
  <c r="J60" i="1"/>
  <c r="J59" i="1"/>
  <c r="J58" i="1"/>
  <c r="J57" i="1"/>
  <c r="J56" i="1"/>
  <c r="J55" i="1"/>
  <c r="J54" i="1"/>
  <c r="J53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16" i="1"/>
  <c r="G418" i="11" l="1"/>
  <c r="I418" i="11" s="1"/>
  <c r="K418" i="11" s="1"/>
  <c r="M348" i="11"/>
  <c r="BS125" i="11"/>
  <c r="BS128" i="11" s="1"/>
  <c r="A420" i="11"/>
  <c r="D419" i="11"/>
  <c r="J419" i="11"/>
  <c r="C419" i="11"/>
  <c r="B419" i="11"/>
  <c r="A350" i="11"/>
  <c r="J349" i="11"/>
  <c r="F349" i="11"/>
  <c r="E349" i="11"/>
  <c r="D349" i="11"/>
  <c r="I349" i="11"/>
  <c r="AQ35" i="1"/>
  <c r="AR35" i="1" s="1"/>
  <c r="AQ36" i="1"/>
  <c r="AR36" i="1" s="1"/>
  <c r="AP37" i="1"/>
  <c r="AS37" i="1" s="1"/>
  <c r="AQ37" i="1"/>
  <c r="AR37" i="1" s="1"/>
  <c r="AO35" i="1"/>
  <c r="AO37" i="1"/>
  <c r="AM39" i="1"/>
  <c r="AL38" i="1"/>
  <c r="A422" i="10"/>
  <c r="D421" i="10"/>
  <c r="C421" i="10"/>
  <c r="B421" i="10"/>
  <c r="J421" i="10"/>
  <c r="AP36" i="1"/>
  <c r="AS36" i="1" s="1"/>
  <c r="AO36" i="1"/>
  <c r="K392" i="10"/>
  <c r="K384" i="10"/>
  <c r="K368" i="10"/>
  <c r="K378" i="10"/>
  <c r="F353" i="10"/>
  <c r="E353" i="10"/>
  <c r="D353" i="10"/>
  <c r="CH123" i="10"/>
  <c r="CK123" i="10" s="1"/>
  <c r="CG122" i="10"/>
  <c r="CJ122" i="10" s="1"/>
  <c r="CI123" i="10"/>
  <c r="CL123" i="10" s="1"/>
  <c r="J353" i="10"/>
  <c r="H659" i="10"/>
  <c r="J659" i="10" s="1"/>
  <c r="H661" i="10"/>
  <c r="J661" i="10" s="1"/>
  <c r="H665" i="10"/>
  <c r="J665" i="10" s="1"/>
  <c r="H667" i="10"/>
  <c r="J667" i="10" s="1"/>
  <c r="H673" i="10"/>
  <c r="J673" i="10" s="1"/>
  <c r="H677" i="10"/>
  <c r="J677" i="10" s="1"/>
  <c r="H660" i="10"/>
  <c r="J660" i="10" s="1"/>
  <c r="H680" i="10"/>
  <c r="J680" i="10" s="1"/>
  <c r="H662" i="10"/>
  <c r="J662" i="10" s="1"/>
  <c r="H668" i="10"/>
  <c r="J668" i="10" s="1"/>
  <c r="H670" i="10"/>
  <c r="H674" i="10"/>
  <c r="J674" i="10" s="1"/>
  <c r="H678" i="10"/>
  <c r="J678" i="10" s="1"/>
  <c r="H676" i="10"/>
  <c r="J676" i="10" s="1"/>
  <c r="H663" i="10"/>
  <c r="J663" i="10" s="1"/>
  <c r="H666" i="10"/>
  <c r="J666" i="10" s="1"/>
  <c r="H671" i="10"/>
  <c r="J671" i="10" s="1"/>
  <c r="H675" i="10"/>
  <c r="J675" i="10" s="1"/>
  <c r="H679" i="10"/>
  <c r="J679" i="10" s="1"/>
  <c r="H664" i="10"/>
  <c r="J664" i="10" s="1"/>
  <c r="H669" i="10"/>
  <c r="J669" i="10" s="1"/>
  <c r="H672" i="10"/>
  <c r="J672" i="10" s="1"/>
  <c r="J670" i="10"/>
  <c r="P335" i="10"/>
  <c r="P333" i="10"/>
  <c r="M393" i="10" s="1"/>
  <c r="AO41" i="5"/>
  <c r="AP41" i="5"/>
  <c r="AS41" i="5" s="1"/>
  <c r="AT41" i="5" s="1"/>
  <c r="AZ41" i="5" s="1"/>
  <c r="BA41" i="5" s="1"/>
  <c r="AQ41" i="5"/>
  <c r="AR41" i="5" s="1"/>
  <c r="AM43" i="5"/>
  <c r="AL42" i="5"/>
  <c r="M349" i="11" l="1"/>
  <c r="G419" i="11"/>
  <c r="I419" i="11" s="1"/>
  <c r="K419" i="11" s="1"/>
  <c r="J350" i="11"/>
  <c r="A351" i="11"/>
  <c r="F350" i="11"/>
  <c r="E350" i="11"/>
  <c r="D350" i="11"/>
  <c r="I350" i="11"/>
  <c r="A421" i="11"/>
  <c r="D420" i="11"/>
  <c r="C420" i="11"/>
  <c r="J420" i="11"/>
  <c r="B420" i="11"/>
  <c r="AO38" i="1"/>
  <c r="AP38" i="1"/>
  <c r="AS38" i="1" s="1"/>
  <c r="AQ38" i="1"/>
  <c r="AR38" i="1" s="1"/>
  <c r="E439" i="10"/>
  <c r="E443" i="10"/>
  <c r="E447" i="10"/>
  <c r="E416" i="10"/>
  <c r="G416" i="10" s="1"/>
  <c r="I416" i="10" s="1"/>
  <c r="K416" i="10" s="1"/>
  <c r="E420" i="10"/>
  <c r="G420" i="10" s="1"/>
  <c r="I420" i="10" s="1"/>
  <c r="K420" i="10" s="1"/>
  <c r="E424" i="10"/>
  <c r="E428" i="10"/>
  <c r="E432" i="10"/>
  <c r="E414" i="10"/>
  <c r="G414" i="10" s="1"/>
  <c r="I414" i="10" s="1"/>
  <c r="K414" i="10" s="1"/>
  <c r="E436" i="10"/>
  <c r="E440" i="10"/>
  <c r="E444" i="10"/>
  <c r="E448" i="10"/>
  <c r="E437" i="10"/>
  <c r="E441" i="10"/>
  <c r="E445" i="10"/>
  <c r="E449" i="10"/>
  <c r="E418" i="10"/>
  <c r="G418" i="10" s="1"/>
  <c r="I418" i="10" s="1"/>
  <c r="K418" i="10" s="1"/>
  <c r="E422" i="10"/>
  <c r="E426" i="10"/>
  <c r="E430" i="10"/>
  <c r="E434" i="10"/>
  <c r="E446" i="10"/>
  <c r="E421" i="10"/>
  <c r="G421" i="10" s="1"/>
  <c r="I421" i="10" s="1"/>
  <c r="K421" i="10" s="1"/>
  <c r="E429" i="10"/>
  <c r="E450" i="10"/>
  <c r="G450" i="10" s="1"/>
  <c r="I450" i="10" s="1"/>
  <c r="K450" i="10" s="1"/>
  <c r="E415" i="10"/>
  <c r="G415" i="10" s="1"/>
  <c r="I415" i="10" s="1"/>
  <c r="K415" i="10" s="1"/>
  <c r="E423" i="10"/>
  <c r="E431" i="10"/>
  <c r="E438" i="10"/>
  <c r="E417" i="10"/>
  <c r="G417" i="10" s="1"/>
  <c r="I417" i="10" s="1"/>
  <c r="K417" i="10" s="1"/>
  <c r="E425" i="10"/>
  <c r="E433" i="10"/>
  <c r="E442" i="10"/>
  <c r="E419" i="10"/>
  <c r="G419" i="10" s="1"/>
  <c r="I419" i="10" s="1"/>
  <c r="K419" i="10" s="1"/>
  <c r="E427" i="10"/>
  <c r="E435" i="10"/>
  <c r="AM40" i="1"/>
  <c r="AL39" i="1"/>
  <c r="A423" i="10"/>
  <c r="D422" i="10"/>
  <c r="C422" i="10"/>
  <c r="B422" i="10"/>
  <c r="J422" i="10"/>
  <c r="M383" i="10"/>
  <c r="K385" i="10"/>
  <c r="M384" i="10"/>
  <c r="M346" i="10"/>
  <c r="M381" i="10"/>
  <c r="M396" i="10"/>
  <c r="M394" i="10"/>
  <c r="M382" i="10"/>
  <c r="M380" i="10"/>
  <c r="M395" i="10"/>
  <c r="M388" i="10"/>
  <c r="K391" i="10"/>
  <c r="M392" i="10"/>
  <c r="M377" i="10"/>
  <c r="M376" i="10"/>
  <c r="M373" i="10"/>
  <c r="M374" i="10"/>
  <c r="M371" i="10"/>
  <c r="M370" i="10"/>
  <c r="M375" i="10"/>
  <c r="M369" i="10"/>
  <c r="K379" i="10"/>
  <c r="M379" i="10" s="1"/>
  <c r="M378" i="10"/>
  <c r="M372" i="10"/>
  <c r="K367" i="10"/>
  <c r="M368" i="10"/>
  <c r="F354" i="10"/>
  <c r="E354" i="10"/>
  <c r="D354" i="10"/>
  <c r="M344" i="10"/>
  <c r="CH122" i="10"/>
  <c r="CK122" i="10" s="1"/>
  <c r="CI122" i="10"/>
  <c r="CL122" i="10" s="1"/>
  <c r="M347" i="10"/>
  <c r="M345" i="10"/>
  <c r="M352" i="10"/>
  <c r="M350" i="10"/>
  <c r="J354" i="10"/>
  <c r="M348" i="10"/>
  <c r="L659" i="10"/>
  <c r="M667" i="10"/>
  <c r="P665" i="10" s="1"/>
  <c r="P667" i="10" s="1"/>
  <c r="P668" i="10" s="1"/>
  <c r="P669" i="10" s="1"/>
  <c r="L667" i="10"/>
  <c r="K659" i="10"/>
  <c r="M351" i="10"/>
  <c r="M365" i="10"/>
  <c r="P336" i="10"/>
  <c r="M353" i="10"/>
  <c r="M349" i="10"/>
  <c r="AO42" i="5"/>
  <c r="AP42" i="5"/>
  <c r="AS42" i="5" s="1"/>
  <c r="AT42" i="5" s="1"/>
  <c r="AZ42" i="5" s="1"/>
  <c r="BA42" i="5" s="1"/>
  <c r="AM44" i="5"/>
  <c r="AL43" i="5"/>
  <c r="AQ42" i="5"/>
  <c r="AR42" i="5" s="1"/>
  <c r="G420" i="11" l="1"/>
  <c r="I420" i="11" s="1"/>
  <c r="K420" i="11" s="1"/>
  <c r="M350" i="11"/>
  <c r="A422" i="11"/>
  <c r="D421" i="11"/>
  <c r="J421" i="11"/>
  <c r="C421" i="11"/>
  <c r="B421" i="11"/>
  <c r="J351" i="11"/>
  <c r="A352" i="11"/>
  <c r="F351" i="11"/>
  <c r="E351" i="11"/>
  <c r="D351" i="11"/>
  <c r="I351" i="11"/>
  <c r="A424" i="10"/>
  <c r="D423" i="10"/>
  <c r="C423" i="10"/>
  <c r="B423" i="10"/>
  <c r="J423" i="10"/>
  <c r="AM41" i="1"/>
  <c r="AL40" i="1"/>
  <c r="AO39" i="1"/>
  <c r="AP39" i="1"/>
  <c r="AS39" i="1" s="1"/>
  <c r="AQ39" i="1"/>
  <c r="AR39" i="1" s="1"/>
  <c r="G422" i="10"/>
  <c r="I422" i="10" s="1"/>
  <c r="K422" i="10" s="1"/>
  <c r="K390" i="10"/>
  <c r="M391" i="10"/>
  <c r="K366" i="10"/>
  <c r="M366" i="10" s="1"/>
  <c r="M367" i="10"/>
  <c r="K386" i="10"/>
  <c r="M385" i="10"/>
  <c r="P342" i="10"/>
  <c r="P341" i="10"/>
  <c r="P340" i="10" s="1"/>
  <c r="I366" i="10"/>
  <c r="F355" i="10"/>
  <c r="E355" i="10"/>
  <c r="D355" i="10"/>
  <c r="M354" i="10"/>
  <c r="J355" i="10"/>
  <c r="AP43" i="5"/>
  <c r="AS43" i="5" s="1"/>
  <c r="AT43" i="5" s="1"/>
  <c r="AZ43" i="5" s="1"/>
  <c r="BA43" i="5" s="1"/>
  <c r="AO43" i="5"/>
  <c r="AQ43" i="5"/>
  <c r="AR43" i="5" s="1"/>
  <c r="AM45" i="5"/>
  <c r="AL44" i="5"/>
  <c r="G423" i="10" l="1"/>
  <c r="I423" i="10" s="1"/>
  <c r="K423" i="10" s="1"/>
  <c r="B405" i="10"/>
  <c r="B406" i="10" s="1"/>
  <c r="B407" i="10" s="1"/>
  <c r="J352" i="11"/>
  <c r="A353" i="11"/>
  <c r="F352" i="11"/>
  <c r="E352" i="11"/>
  <c r="D352" i="11"/>
  <c r="I352" i="11"/>
  <c r="M351" i="11"/>
  <c r="G421" i="11"/>
  <c r="I421" i="11" s="1"/>
  <c r="K421" i="11" s="1"/>
  <c r="A423" i="11"/>
  <c r="D422" i="11"/>
  <c r="C422" i="11"/>
  <c r="J422" i="11"/>
  <c r="B422" i="11"/>
  <c r="AQ40" i="1"/>
  <c r="AR40" i="1" s="1"/>
  <c r="AO40" i="1"/>
  <c r="AP40" i="1"/>
  <c r="AS40" i="1" s="1"/>
  <c r="AM42" i="1"/>
  <c r="AL41" i="1"/>
  <c r="A425" i="10"/>
  <c r="D424" i="10"/>
  <c r="C424" i="10"/>
  <c r="B424" i="10"/>
  <c r="J424" i="10"/>
  <c r="B399" i="10"/>
  <c r="K387" i="10"/>
  <c r="M387" i="10" s="1"/>
  <c r="M386" i="10"/>
  <c r="F399" i="10" s="1"/>
  <c r="K389" i="10"/>
  <c r="M389" i="10" s="1"/>
  <c r="M390" i="10"/>
  <c r="Q341" i="10"/>
  <c r="R340" i="10"/>
  <c r="I379" i="10"/>
  <c r="I348" i="10"/>
  <c r="I393" i="10"/>
  <c r="I388" i="10"/>
  <c r="I395" i="10"/>
  <c r="I390" i="10"/>
  <c r="I389" i="10"/>
  <c r="I394" i="10"/>
  <c r="I384" i="10"/>
  <c r="I391" i="10"/>
  <c r="I382" i="10"/>
  <c r="I385" i="10"/>
  <c r="I396" i="10"/>
  <c r="I380" i="10"/>
  <c r="I387" i="10"/>
  <c r="I381" i="10"/>
  <c r="I392" i="10"/>
  <c r="I386" i="10"/>
  <c r="I383" i="10"/>
  <c r="I370" i="10"/>
  <c r="I355" i="10"/>
  <c r="I354" i="10"/>
  <c r="I376" i="10"/>
  <c r="I365" i="10"/>
  <c r="I350" i="10"/>
  <c r="I367" i="10"/>
  <c r="I352" i="10"/>
  <c r="I344" i="10"/>
  <c r="I375" i="10"/>
  <c r="I369" i="10"/>
  <c r="I351" i="10"/>
  <c r="I353" i="10"/>
  <c r="I346" i="10"/>
  <c r="I372" i="10"/>
  <c r="I377" i="10"/>
  <c r="I378" i="10"/>
  <c r="I371" i="10"/>
  <c r="I347" i="10"/>
  <c r="I356" i="10"/>
  <c r="I349" i="10"/>
  <c r="I345" i="10"/>
  <c r="I368" i="10"/>
  <c r="I373" i="10"/>
  <c r="I374" i="10"/>
  <c r="F356" i="10"/>
  <c r="E356" i="10"/>
  <c r="D356" i="10"/>
  <c r="M355" i="10"/>
  <c r="J356" i="10"/>
  <c r="AP44" i="5"/>
  <c r="AS44" i="5" s="1"/>
  <c r="AT44" i="5" s="1"/>
  <c r="AZ44" i="5" s="1"/>
  <c r="BA44" i="5" s="1"/>
  <c r="AO44" i="5"/>
  <c r="AM46" i="5"/>
  <c r="AL45" i="5"/>
  <c r="AQ44" i="5"/>
  <c r="AR44" i="5" s="1"/>
  <c r="J399" i="10" l="1"/>
  <c r="G424" i="10"/>
  <c r="I424" i="10" s="1"/>
  <c r="K424" i="10" s="1"/>
  <c r="G422" i="11"/>
  <c r="I422" i="11" s="1"/>
  <c r="K422" i="11" s="1"/>
  <c r="A424" i="11"/>
  <c r="D423" i="11"/>
  <c r="C423" i="11"/>
  <c r="J423" i="11"/>
  <c r="B423" i="11"/>
  <c r="M352" i="11"/>
  <c r="A354" i="11"/>
  <c r="J353" i="11"/>
  <c r="F353" i="11"/>
  <c r="E353" i="11"/>
  <c r="D353" i="11"/>
  <c r="I353" i="11"/>
  <c r="AM43" i="1"/>
  <c r="AL42" i="1"/>
  <c r="A426" i="10"/>
  <c r="D425" i="10"/>
  <c r="C425" i="10"/>
  <c r="B425" i="10"/>
  <c r="J425" i="10"/>
  <c r="AP41" i="1"/>
  <c r="AS41" i="1" s="1"/>
  <c r="AQ41" i="1"/>
  <c r="AR41" i="1" s="1"/>
  <c r="AO41" i="1"/>
  <c r="F357" i="10"/>
  <c r="E357" i="10"/>
  <c r="D357" i="10"/>
  <c r="M356" i="10"/>
  <c r="I357" i="10"/>
  <c r="J357" i="10"/>
  <c r="AO45" i="5"/>
  <c r="AP45" i="5"/>
  <c r="AS45" i="5" s="1"/>
  <c r="AT45" i="5" s="1"/>
  <c r="AZ45" i="5" s="1"/>
  <c r="BA45" i="5" s="1"/>
  <c r="AQ45" i="5"/>
  <c r="AR45" i="5" s="1"/>
  <c r="AM47" i="5"/>
  <c r="AL46" i="5"/>
  <c r="G425" i="10" l="1"/>
  <c r="I425" i="10" s="1"/>
  <c r="K425" i="10" s="1"/>
  <c r="M353" i="11"/>
  <c r="G423" i="11"/>
  <c r="I423" i="11" s="1"/>
  <c r="K423" i="11" s="1"/>
  <c r="J354" i="11"/>
  <c r="F354" i="11"/>
  <c r="E354" i="11"/>
  <c r="D354" i="11"/>
  <c r="I354" i="11"/>
  <c r="D424" i="11"/>
  <c r="A425" i="11"/>
  <c r="C424" i="11"/>
  <c r="J424" i="11"/>
  <c r="B424" i="11"/>
  <c r="A427" i="10"/>
  <c r="D426" i="10"/>
  <c r="C426" i="10"/>
  <c r="B426" i="10"/>
  <c r="J426" i="10"/>
  <c r="AO42" i="1"/>
  <c r="AQ42" i="1"/>
  <c r="AR42" i="1" s="1"/>
  <c r="AP42" i="1"/>
  <c r="AS42" i="1" s="1"/>
  <c r="AM44" i="1"/>
  <c r="AL43" i="1"/>
  <c r="F358" i="10"/>
  <c r="E358" i="10"/>
  <c r="D358" i="10"/>
  <c r="M357" i="10"/>
  <c r="I358" i="10"/>
  <c r="J358" i="10"/>
  <c r="AO46" i="5"/>
  <c r="AP46" i="5"/>
  <c r="AS46" i="5" s="1"/>
  <c r="AT46" i="5" s="1"/>
  <c r="AZ46" i="5" s="1"/>
  <c r="BA46" i="5" s="1"/>
  <c r="AM48" i="5"/>
  <c r="AL47" i="5"/>
  <c r="AQ46" i="5"/>
  <c r="AR46" i="5" s="1"/>
  <c r="G426" i="10" l="1"/>
  <c r="I426" i="10" s="1"/>
  <c r="K426" i="10" s="1"/>
  <c r="G424" i="11"/>
  <c r="I424" i="11" s="1"/>
  <c r="K424" i="11" s="1"/>
  <c r="M354" i="11"/>
  <c r="A426" i="11"/>
  <c r="D425" i="11"/>
  <c r="J425" i="11"/>
  <c r="C425" i="11"/>
  <c r="B425" i="11"/>
  <c r="AO43" i="1"/>
  <c r="AQ43" i="1"/>
  <c r="AR43" i="1" s="1"/>
  <c r="AP43" i="1"/>
  <c r="AS43" i="1" s="1"/>
  <c r="AM45" i="1"/>
  <c r="AL44" i="1"/>
  <c r="A428" i="10"/>
  <c r="D427" i="10"/>
  <c r="C427" i="10"/>
  <c r="B427" i="10"/>
  <c r="J427" i="10"/>
  <c r="F359" i="10"/>
  <c r="E359" i="10"/>
  <c r="D359" i="10"/>
  <c r="I359" i="10"/>
  <c r="J359" i="10"/>
  <c r="M358" i="10"/>
  <c r="AO47" i="5"/>
  <c r="AP47" i="5"/>
  <c r="AS47" i="5" s="1"/>
  <c r="AT47" i="5" s="1"/>
  <c r="AZ47" i="5" s="1"/>
  <c r="BA47" i="5" s="1"/>
  <c r="AQ47" i="5"/>
  <c r="AR47" i="5" s="1"/>
  <c r="AM49" i="5"/>
  <c r="AL48" i="5"/>
  <c r="G427" i="10" l="1"/>
  <c r="I427" i="10" s="1"/>
  <c r="K427" i="10" s="1"/>
  <c r="G425" i="11"/>
  <c r="I425" i="11" s="1"/>
  <c r="K425" i="11" s="1"/>
  <c r="A427" i="11"/>
  <c r="D426" i="11"/>
  <c r="C426" i="11"/>
  <c r="J426" i="11"/>
  <c r="B426" i="11"/>
  <c r="AM46" i="1"/>
  <c r="AL45" i="1"/>
  <c r="A429" i="10"/>
  <c r="D428" i="10"/>
  <c r="C428" i="10"/>
  <c r="B428" i="10"/>
  <c r="J428" i="10"/>
  <c r="AQ44" i="1"/>
  <c r="AR44" i="1" s="1"/>
  <c r="AP44" i="1"/>
  <c r="AS44" i="1" s="1"/>
  <c r="AO44" i="1"/>
  <c r="F360" i="10"/>
  <c r="E360" i="10"/>
  <c r="D360" i="10"/>
  <c r="J360" i="10"/>
  <c r="I360" i="10"/>
  <c r="M359" i="10"/>
  <c r="AP48" i="5"/>
  <c r="AS48" i="5" s="1"/>
  <c r="AT48" i="5" s="1"/>
  <c r="AZ48" i="5" s="1"/>
  <c r="BA48" i="5" s="1"/>
  <c r="AO48" i="5"/>
  <c r="AM50" i="5"/>
  <c r="AL49" i="5"/>
  <c r="AQ48" i="5"/>
  <c r="AR48" i="5" s="1"/>
  <c r="G428" i="10" l="1"/>
  <c r="I428" i="10" s="1"/>
  <c r="K428" i="10" s="1"/>
  <c r="G426" i="11"/>
  <c r="I426" i="11" s="1"/>
  <c r="K426" i="11" s="1"/>
  <c r="A428" i="11"/>
  <c r="D427" i="11"/>
  <c r="J427" i="11"/>
  <c r="C427" i="11"/>
  <c r="B427" i="11"/>
  <c r="A430" i="10"/>
  <c r="D429" i="10"/>
  <c r="C429" i="10"/>
  <c r="B429" i="10"/>
  <c r="J429" i="10"/>
  <c r="AP45" i="1"/>
  <c r="AS45" i="1" s="1"/>
  <c r="AO45" i="1"/>
  <c r="AQ45" i="1"/>
  <c r="AR45" i="1" s="1"/>
  <c r="AM47" i="1"/>
  <c r="AL46" i="1"/>
  <c r="F361" i="10"/>
  <c r="E361" i="10"/>
  <c r="D361" i="10"/>
  <c r="J361" i="10"/>
  <c r="I361" i="10"/>
  <c r="M360" i="10"/>
  <c r="AO49" i="5"/>
  <c r="AP49" i="5"/>
  <c r="AS49" i="5" s="1"/>
  <c r="AT49" i="5" s="1"/>
  <c r="AZ49" i="5" s="1"/>
  <c r="BA49" i="5" s="1"/>
  <c r="AQ49" i="5"/>
  <c r="AR49" i="5" s="1"/>
  <c r="AL50" i="5"/>
  <c r="AM51" i="5"/>
  <c r="G429" i="10" l="1"/>
  <c r="I429" i="10" s="1"/>
  <c r="K429" i="10" s="1"/>
  <c r="G427" i="11"/>
  <c r="I427" i="11" s="1"/>
  <c r="K427" i="11" s="1"/>
  <c r="D428" i="11"/>
  <c r="A429" i="11"/>
  <c r="C428" i="11"/>
  <c r="J428" i="11"/>
  <c r="B428" i="11"/>
  <c r="AO46" i="1"/>
  <c r="AQ46" i="1"/>
  <c r="AR46" i="1" s="1"/>
  <c r="AP46" i="1"/>
  <c r="AS46" i="1" s="1"/>
  <c r="AM48" i="1"/>
  <c r="AL47" i="1"/>
  <c r="A431" i="10"/>
  <c r="D430" i="10"/>
  <c r="C430" i="10"/>
  <c r="B430" i="10"/>
  <c r="J430" i="10"/>
  <c r="M361" i="10"/>
  <c r="F362" i="10"/>
  <c r="E362" i="10"/>
  <c r="D362" i="10"/>
  <c r="J362" i="10"/>
  <c r="I362" i="10"/>
  <c r="AO50" i="5"/>
  <c r="AP50" i="5"/>
  <c r="AS50" i="5" s="1"/>
  <c r="AT50" i="5" s="1"/>
  <c r="AZ50" i="5" s="1"/>
  <c r="BA50" i="5" s="1"/>
  <c r="AQ50" i="5"/>
  <c r="AR50" i="5" s="1"/>
  <c r="AM52" i="5"/>
  <c r="AL51" i="5"/>
  <c r="G430" i="10" l="1"/>
  <c r="I430" i="10" s="1"/>
  <c r="K430" i="10" s="1"/>
  <c r="G428" i="11"/>
  <c r="I428" i="11" s="1"/>
  <c r="K428" i="11" s="1"/>
  <c r="A430" i="11"/>
  <c r="D429" i="11"/>
  <c r="C429" i="11"/>
  <c r="J429" i="11"/>
  <c r="B429" i="11"/>
  <c r="AM49" i="1"/>
  <c r="AL48" i="1"/>
  <c r="A432" i="10"/>
  <c r="D431" i="10"/>
  <c r="C431" i="10"/>
  <c r="B431" i="10"/>
  <c r="J431" i="10"/>
  <c r="AO47" i="1"/>
  <c r="AQ47" i="1"/>
  <c r="AR47" i="1" s="1"/>
  <c r="AP47" i="1"/>
  <c r="AS47" i="1" s="1"/>
  <c r="F363" i="10"/>
  <c r="E363" i="10"/>
  <c r="D363" i="10"/>
  <c r="M362" i="10"/>
  <c r="J363" i="10"/>
  <c r="I363" i="10"/>
  <c r="AP51" i="5"/>
  <c r="AS51" i="5" s="1"/>
  <c r="AT51" i="5" s="1"/>
  <c r="AZ51" i="5" s="1"/>
  <c r="BA51" i="5" s="1"/>
  <c r="AO51" i="5"/>
  <c r="AM53" i="5"/>
  <c r="AL52" i="5"/>
  <c r="AQ51" i="5"/>
  <c r="AR51" i="5" s="1"/>
  <c r="G431" i="10" l="1"/>
  <c r="I431" i="10" s="1"/>
  <c r="K431" i="10" s="1"/>
  <c r="G429" i="11"/>
  <c r="I429" i="11" s="1"/>
  <c r="K429" i="11" s="1"/>
  <c r="A431" i="11"/>
  <c r="D430" i="11"/>
  <c r="C430" i="11"/>
  <c r="J430" i="11"/>
  <c r="B430" i="11"/>
  <c r="A433" i="10"/>
  <c r="D432" i="10"/>
  <c r="C432" i="10"/>
  <c r="B432" i="10"/>
  <c r="J432" i="10"/>
  <c r="AQ48" i="1"/>
  <c r="AR48" i="1" s="1"/>
  <c r="AO48" i="1"/>
  <c r="AP48" i="1"/>
  <c r="AS48" i="1" s="1"/>
  <c r="AM50" i="1"/>
  <c r="AL49" i="1"/>
  <c r="F364" i="10"/>
  <c r="E364" i="10"/>
  <c r="D364" i="10"/>
  <c r="J364" i="10"/>
  <c r="I364" i="10"/>
  <c r="M363" i="10"/>
  <c r="AP52" i="5"/>
  <c r="AS52" i="5" s="1"/>
  <c r="AT52" i="5" s="1"/>
  <c r="AZ52" i="5" s="1"/>
  <c r="BA52" i="5" s="1"/>
  <c r="AO52" i="5"/>
  <c r="AQ52" i="5"/>
  <c r="AR52" i="5" s="1"/>
  <c r="AM54" i="5"/>
  <c r="AL53" i="5"/>
  <c r="G432" i="10" l="1"/>
  <c r="I432" i="10" s="1"/>
  <c r="K432" i="10" s="1"/>
  <c r="G430" i="11"/>
  <c r="I430" i="11" s="1"/>
  <c r="K430" i="11" s="1"/>
  <c r="A432" i="11"/>
  <c r="D431" i="11"/>
  <c r="C431" i="11"/>
  <c r="J431" i="11"/>
  <c r="B431" i="11"/>
  <c r="AP49" i="1"/>
  <c r="AS49" i="1" s="1"/>
  <c r="AO49" i="1"/>
  <c r="AQ49" i="1"/>
  <c r="AR49" i="1" s="1"/>
  <c r="AM51" i="1"/>
  <c r="AL50" i="1"/>
  <c r="A434" i="10"/>
  <c r="D433" i="10"/>
  <c r="C433" i="10"/>
  <c r="B433" i="10"/>
  <c r="J433" i="10"/>
  <c r="M364" i="10"/>
  <c r="AO53" i="5"/>
  <c r="AP53" i="5"/>
  <c r="AS53" i="5" s="1"/>
  <c r="AT53" i="5" s="1"/>
  <c r="AZ53" i="5" s="1"/>
  <c r="BA53" i="5" s="1"/>
  <c r="AM55" i="5"/>
  <c r="AL54" i="5"/>
  <c r="AQ53" i="5"/>
  <c r="AR53" i="5" s="1"/>
  <c r="G433" i="10" l="1"/>
  <c r="I433" i="10" s="1"/>
  <c r="K433" i="10" s="1"/>
  <c r="G431" i="11"/>
  <c r="I431" i="11" s="1"/>
  <c r="K431" i="11" s="1"/>
  <c r="A433" i="11"/>
  <c r="D432" i="11"/>
  <c r="C432" i="11"/>
  <c r="J432" i="11"/>
  <c r="B432" i="11"/>
  <c r="AM52" i="1"/>
  <c r="AL51" i="1"/>
  <c r="A435" i="10"/>
  <c r="D434" i="10"/>
  <c r="C434" i="10"/>
  <c r="B434" i="10"/>
  <c r="G434" i="10" s="1"/>
  <c r="I434" i="10" s="1"/>
  <c r="K434" i="10" s="1"/>
  <c r="J434" i="10"/>
  <c r="AO50" i="1"/>
  <c r="AP50" i="1"/>
  <c r="AS50" i="1" s="1"/>
  <c r="AQ50" i="1"/>
  <c r="AR50" i="1" s="1"/>
  <c r="AO54" i="5"/>
  <c r="AP54" i="5"/>
  <c r="AS54" i="5" s="1"/>
  <c r="AT54" i="5" s="1"/>
  <c r="AZ54" i="5" s="1"/>
  <c r="BA54" i="5" s="1"/>
  <c r="AQ54" i="5"/>
  <c r="AR54" i="5" s="1"/>
  <c r="AL55" i="5"/>
  <c r="AM56" i="5"/>
  <c r="G432" i="11" l="1"/>
  <c r="I432" i="11" s="1"/>
  <c r="K432" i="11" s="1"/>
  <c r="A434" i="11"/>
  <c r="D433" i="11"/>
  <c r="C433" i="11"/>
  <c r="J433" i="11"/>
  <c r="B433" i="11"/>
  <c r="A436" i="10"/>
  <c r="D435" i="10"/>
  <c r="C435" i="10"/>
  <c r="B435" i="10"/>
  <c r="J435" i="10"/>
  <c r="AO51" i="1"/>
  <c r="AP51" i="1"/>
  <c r="AS51" i="1" s="1"/>
  <c r="AQ51" i="1"/>
  <c r="AR51" i="1" s="1"/>
  <c r="AM53" i="1"/>
  <c r="AL52" i="1"/>
  <c r="R667" i="10"/>
  <c r="AO55" i="5"/>
  <c r="AP55" i="5"/>
  <c r="AS55" i="5" s="1"/>
  <c r="AT55" i="5" s="1"/>
  <c r="AZ55" i="5" s="1"/>
  <c r="BA55" i="5" s="1"/>
  <c r="AQ55" i="5"/>
  <c r="AR55" i="5" s="1"/>
  <c r="AL56" i="5"/>
  <c r="AM57" i="5"/>
  <c r="G435" i="10" l="1"/>
  <c r="I435" i="10" s="1"/>
  <c r="K435" i="10" s="1"/>
  <c r="G433" i="11"/>
  <c r="I433" i="11" s="1"/>
  <c r="K433" i="11" s="1"/>
  <c r="A435" i="11"/>
  <c r="D434" i="11"/>
  <c r="J434" i="11"/>
  <c r="C434" i="11"/>
  <c r="B434" i="11"/>
  <c r="AQ52" i="1"/>
  <c r="AR52" i="1" s="1"/>
  <c r="AP52" i="1"/>
  <c r="AS52" i="1" s="1"/>
  <c r="AO52" i="1"/>
  <c r="AM54" i="1"/>
  <c r="AL53" i="1"/>
  <c r="D436" i="10"/>
  <c r="A437" i="10"/>
  <c r="C436" i="10"/>
  <c r="B436" i="10"/>
  <c r="J436" i="10"/>
  <c r="B409" i="10"/>
  <c r="B410" i="10" s="1"/>
  <c r="D409" i="10"/>
  <c r="D410" i="10" s="1"/>
  <c r="AP56" i="5"/>
  <c r="AS56" i="5" s="1"/>
  <c r="AT56" i="5" s="1"/>
  <c r="AZ56" i="5" s="1"/>
  <c r="BA56" i="5" s="1"/>
  <c r="AO56" i="5"/>
  <c r="AQ56" i="5"/>
  <c r="AR56" i="5" s="1"/>
  <c r="AL57" i="5"/>
  <c r="AM58" i="5"/>
  <c r="G436" i="10" l="1"/>
  <c r="I436" i="10" s="1"/>
  <c r="K436" i="10" s="1"/>
  <c r="G434" i="11"/>
  <c r="I434" i="11" s="1"/>
  <c r="K434" i="11" s="1"/>
  <c r="A436" i="11"/>
  <c r="D435" i="11"/>
  <c r="C435" i="11"/>
  <c r="J435" i="11"/>
  <c r="B435" i="11"/>
  <c r="AM55" i="1"/>
  <c r="AL54" i="1"/>
  <c r="D437" i="10"/>
  <c r="A438" i="10"/>
  <c r="C437" i="10"/>
  <c r="B437" i="10"/>
  <c r="J437" i="10"/>
  <c r="AP53" i="1"/>
  <c r="AS53" i="1" s="1"/>
  <c r="AQ53" i="1"/>
  <c r="AR53" i="1" s="1"/>
  <c r="AO53" i="1"/>
  <c r="BS135" i="10"/>
  <c r="BS138" i="10" s="1"/>
  <c r="AO57" i="5"/>
  <c r="AP57" i="5"/>
  <c r="AS57" i="5" s="1"/>
  <c r="AT57" i="5" s="1"/>
  <c r="AZ57" i="5" s="1"/>
  <c r="BA57" i="5" s="1"/>
  <c r="BE34" i="5" s="1"/>
  <c r="BF34" i="5" s="1"/>
  <c r="AQ57" i="5"/>
  <c r="AR57" i="5" s="1"/>
  <c r="AL58" i="5"/>
  <c r="AM59" i="5"/>
  <c r="G435" i="11" l="1"/>
  <c r="I435" i="11" s="1"/>
  <c r="K435" i="11" s="1"/>
  <c r="G437" i="10"/>
  <c r="I437" i="10" s="1"/>
  <c r="K437" i="10" s="1"/>
  <c r="A437" i="11"/>
  <c r="D436" i="11"/>
  <c r="J436" i="11"/>
  <c r="C436" i="11"/>
  <c r="B436" i="11"/>
  <c r="D438" i="10"/>
  <c r="A439" i="10"/>
  <c r="C438" i="10"/>
  <c r="B438" i="10"/>
  <c r="J438" i="10"/>
  <c r="AO54" i="1"/>
  <c r="AP54" i="1"/>
  <c r="AS54" i="1" s="1"/>
  <c r="AQ54" i="1"/>
  <c r="AR54" i="1" s="1"/>
  <c r="AM56" i="1"/>
  <c r="AL55" i="1"/>
  <c r="AO58" i="5"/>
  <c r="AP58" i="5"/>
  <c r="AS58" i="5" s="1"/>
  <c r="AT58" i="5" s="1"/>
  <c r="AZ58" i="5" s="1"/>
  <c r="BA58" i="5" s="1"/>
  <c r="AQ58" i="5"/>
  <c r="AR58" i="5" s="1"/>
  <c r="AL59" i="5"/>
  <c r="AM60" i="5"/>
  <c r="G438" i="10" l="1"/>
  <c r="I438" i="10" s="1"/>
  <c r="K438" i="10" s="1"/>
  <c r="G436" i="11"/>
  <c r="I436" i="11" s="1"/>
  <c r="K436" i="11" s="1"/>
  <c r="A438" i="11"/>
  <c r="D437" i="11"/>
  <c r="J437" i="11"/>
  <c r="C437" i="11"/>
  <c r="B437" i="11"/>
  <c r="AO55" i="1"/>
  <c r="AP55" i="1"/>
  <c r="AS55" i="1" s="1"/>
  <c r="AQ55" i="1"/>
  <c r="AR55" i="1" s="1"/>
  <c r="A440" i="10"/>
  <c r="D439" i="10"/>
  <c r="C439" i="10"/>
  <c r="B439" i="10"/>
  <c r="J439" i="10"/>
  <c r="AM57" i="1"/>
  <c r="AL56" i="1"/>
  <c r="AP59" i="5"/>
  <c r="AS59" i="5" s="1"/>
  <c r="AT59" i="5" s="1"/>
  <c r="AZ59" i="5" s="1"/>
  <c r="BA59" i="5" s="1"/>
  <c r="AO59" i="5"/>
  <c r="AQ59" i="5"/>
  <c r="AR59" i="5" s="1"/>
  <c r="AL60" i="5"/>
  <c r="AM61" i="5"/>
  <c r="G437" i="11" l="1"/>
  <c r="I437" i="11" s="1"/>
  <c r="K437" i="11" s="1"/>
  <c r="G439" i="10"/>
  <c r="I439" i="10" s="1"/>
  <c r="K439" i="10" s="1"/>
  <c r="A439" i="11"/>
  <c r="D438" i="11"/>
  <c r="J438" i="11"/>
  <c r="C438" i="11"/>
  <c r="B438" i="11"/>
  <c r="A441" i="10"/>
  <c r="D440" i="10"/>
  <c r="C440" i="10"/>
  <c r="B440" i="10"/>
  <c r="J440" i="10"/>
  <c r="AQ56" i="1"/>
  <c r="AR56" i="1" s="1"/>
  <c r="AP56" i="1"/>
  <c r="AS56" i="1" s="1"/>
  <c r="AO56" i="1"/>
  <c r="AM58" i="1"/>
  <c r="AL57" i="1"/>
  <c r="AP60" i="5"/>
  <c r="AS60" i="5" s="1"/>
  <c r="AT60" i="5" s="1"/>
  <c r="AZ60" i="5" s="1"/>
  <c r="BA60" i="5" s="1"/>
  <c r="AO60" i="5"/>
  <c r="AL61" i="5"/>
  <c r="AM62" i="5"/>
  <c r="AQ60" i="5"/>
  <c r="AR60" i="5" s="1"/>
  <c r="G440" i="10" l="1"/>
  <c r="I440" i="10" s="1"/>
  <c r="K440" i="10" s="1"/>
  <c r="G438" i="11"/>
  <c r="I438" i="11" s="1"/>
  <c r="K438" i="11" s="1"/>
  <c r="D439" i="11"/>
  <c r="J439" i="11"/>
  <c r="C439" i="11"/>
  <c r="B439" i="11"/>
  <c r="AP57" i="1"/>
  <c r="AS57" i="1" s="1"/>
  <c r="AO57" i="1"/>
  <c r="AQ57" i="1"/>
  <c r="AR57" i="1" s="1"/>
  <c r="AM59" i="1"/>
  <c r="AL58" i="1"/>
  <c r="A442" i="10"/>
  <c r="D441" i="10"/>
  <c r="C441" i="10"/>
  <c r="B441" i="10"/>
  <c r="J441" i="10"/>
  <c r="AO61" i="5"/>
  <c r="AP61" i="5"/>
  <c r="AS61" i="5" s="1"/>
  <c r="AT61" i="5" s="1"/>
  <c r="AZ61" i="5" s="1"/>
  <c r="BA61" i="5" s="1"/>
  <c r="AQ61" i="5"/>
  <c r="AR61" i="5" s="1"/>
  <c r="AL62" i="5"/>
  <c r="AM63" i="5"/>
  <c r="G441" i="10" l="1"/>
  <c r="I441" i="10" s="1"/>
  <c r="K441" i="10" s="1"/>
  <c r="G439" i="11"/>
  <c r="I439" i="11" s="1"/>
  <c r="K439" i="11" s="1"/>
  <c r="AM60" i="1"/>
  <c r="AL59" i="1"/>
  <c r="D442" i="10"/>
  <c r="A443" i="10"/>
  <c r="C442" i="10"/>
  <c r="B442" i="10"/>
  <c r="J442" i="10"/>
  <c r="AO58" i="1"/>
  <c r="AQ58" i="1"/>
  <c r="AR58" i="1" s="1"/>
  <c r="AP58" i="1"/>
  <c r="AS58" i="1" s="1"/>
  <c r="AO62" i="5"/>
  <c r="AP62" i="5"/>
  <c r="AS62" i="5" s="1"/>
  <c r="AT62" i="5" s="1"/>
  <c r="AZ62" i="5" s="1"/>
  <c r="BA62" i="5" s="1"/>
  <c r="AQ62" i="5"/>
  <c r="AR62" i="5" s="1"/>
  <c r="AL63" i="5"/>
  <c r="AM64" i="5"/>
  <c r="G442" i="10" l="1"/>
  <c r="I442" i="10" s="1"/>
  <c r="K442" i="10" s="1"/>
  <c r="A444" i="10"/>
  <c r="D443" i="10"/>
  <c r="C443" i="10"/>
  <c r="B443" i="10"/>
  <c r="J443" i="10"/>
  <c r="AO59" i="1"/>
  <c r="AP59" i="1"/>
  <c r="AS59" i="1" s="1"/>
  <c r="AQ59" i="1"/>
  <c r="AR59" i="1" s="1"/>
  <c r="AM61" i="1"/>
  <c r="AL60" i="1"/>
  <c r="AO63" i="5"/>
  <c r="AP63" i="5"/>
  <c r="AS63" i="5" s="1"/>
  <c r="AT63" i="5" s="1"/>
  <c r="AZ63" i="5" s="1"/>
  <c r="BA63" i="5" s="1"/>
  <c r="AL64" i="5"/>
  <c r="AM65" i="5"/>
  <c r="AQ63" i="5"/>
  <c r="AR63" i="5" s="1"/>
  <c r="G443" i="10" l="1"/>
  <c r="I443" i="10" s="1"/>
  <c r="K443" i="10" s="1"/>
  <c r="AQ60" i="1"/>
  <c r="AR60" i="1" s="1"/>
  <c r="AO60" i="1"/>
  <c r="AP60" i="1"/>
  <c r="AS60" i="1" s="1"/>
  <c r="AM62" i="1"/>
  <c r="AL61" i="1"/>
  <c r="D444" i="10"/>
  <c r="A445" i="10"/>
  <c r="C444" i="10"/>
  <c r="B444" i="10"/>
  <c r="J444" i="10"/>
  <c r="AP64" i="5"/>
  <c r="AS64" i="5" s="1"/>
  <c r="AT64" i="5" s="1"/>
  <c r="AZ64" i="5" s="1"/>
  <c r="BA64" i="5" s="1"/>
  <c r="AO64" i="5"/>
  <c r="AQ64" i="5"/>
  <c r="AR64" i="5" s="1"/>
  <c r="AL65" i="5"/>
  <c r="AM66" i="5"/>
  <c r="G444" i="10" l="1"/>
  <c r="I444" i="10" s="1"/>
  <c r="K444" i="10" s="1"/>
  <c r="AM63" i="1"/>
  <c r="AL62" i="1"/>
  <c r="A446" i="10"/>
  <c r="D445" i="10"/>
  <c r="C445" i="10"/>
  <c r="B445" i="10"/>
  <c r="J445" i="10"/>
  <c r="AP61" i="1"/>
  <c r="AS61" i="1" s="1"/>
  <c r="AO61" i="1"/>
  <c r="AQ61" i="1"/>
  <c r="AR61" i="1" s="1"/>
  <c r="AO65" i="5"/>
  <c r="AP65" i="5"/>
  <c r="AS65" i="5" s="1"/>
  <c r="AT65" i="5" s="1"/>
  <c r="AZ65" i="5" s="1"/>
  <c r="BA65" i="5" s="1"/>
  <c r="AL66" i="5"/>
  <c r="AM67" i="5"/>
  <c r="AQ65" i="5"/>
  <c r="AR65" i="5" s="1"/>
  <c r="G445" i="10" l="1"/>
  <c r="I445" i="10" s="1"/>
  <c r="K445" i="10" s="1"/>
  <c r="D446" i="10"/>
  <c r="A447" i="10"/>
  <c r="C446" i="10"/>
  <c r="B446" i="10"/>
  <c r="J446" i="10"/>
  <c r="AO62" i="1"/>
  <c r="AQ62" i="1"/>
  <c r="AR62" i="1" s="1"/>
  <c r="AP62" i="1"/>
  <c r="AS62" i="1" s="1"/>
  <c r="AM64" i="1"/>
  <c r="AL63" i="1"/>
  <c r="AO66" i="5"/>
  <c r="AP66" i="5"/>
  <c r="AS66" i="5" s="1"/>
  <c r="AT66" i="5" s="1"/>
  <c r="AZ66" i="5" s="1"/>
  <c r="BA66" i="5" s="1"/>
  <c r="AQ66" i="5"/>
  <c r="AR66" i="5" s="1"/>
  <c r="AL67" i="5"/>
  <c r="AM68" i="5"/>
  <c r="G446" i="10" l="1"/>
  <c r="I446" i="10" s="1"/>
  <c r="K446" i="10" s="1"/>
  <c r="AO63" i="1"/>
  <c r="AP63" i="1"/>
  <c r="AS63" i="1" s="1"/>
  <c r="AQ63" i="1"/>
  <c r="AR63" i="1" s="1"/>
  <c r="A448" i="10"/>
  <c r="D447" i="10"/>
  <c r="C447" i="10"/>
  <c r="B447" i="10"/>
  <c r="J447" i="10"/>
  <c r="AM65" i="1"/>
  <c r="AL64" i="1"/>
  <c r="AP67" i="5"/>
  <c r="AS67" i="5" s="1"/>
  <c r="AT67" i="5" s="1"/>
  <c r="AZ67" i="5" s="1"/>
  <c r="BA67" i="5" s="1"/>
  <c r="AO67" i="5"/>
  <c r="AL68" i="5"/>
  <c r="AM69" i="5"/>
  <c r="AQ67" i="5"/>
  <c r="AR67" i="5" s="1"/>
  <c r="G447" i="10" l="1"/>
  <c r="I447" i="10" s="1"/>
  <c r="K447" i="10" s="1"/>
  <c r="A449" i="10"/>
  <c r="D448" i="10"/>
  <c r="C448" i="10"/>
  <c r="B448" i="10"/>
  <c r="J448" i="10"/>
  <c r="AQ64" i="1"/>
  <c r="AR64" i="1" s="1"/>
  <c r="AP64" i="1"/>
  <c r="AS64" i="1" s="1"/>
  <c r="AO64" i="1"/>
  <c r="AM66" i="1"/>
  <c r="AL65" i="1"/>
  <c r="AP68" i="5"/>
  <c r="AS68" i="5" s="1"/>
  <c r="AT68" i="5" s="1"/>
  <c r="AZ68" i="5" s="1"/>
  <c r="BA68" i="5" s="1"/>
  <c r="AO68" i="5"/>
  <c r="AQ68" i="5"/>
  <c r="AR68" i="5" s="1"/>
  <c r="AL69" i="5"/>
  <c r="AM70" i="5"/>
  <c r="G448" i="10" l="1"/>
  <c r="I448" i="10" s="1"/>
  <c r="K448" i="10" s="1"/>
  <c r="AP65" i="1"/>
  <c r="AS65" i="1" s="1"/>
  <c r="AV65" i="1" s="1"/>
  <c r="AW65" i="1" s="1"/>
  <c r="AO65" i="1"/>
  <c r="AQ65" i="1"/>
  <c r="AR65" i="1" s="1"/>
  <c r="AM67" i="1"/>
  <c r="AL66" i="1"/>
  <c r="D449" i="10"/>
  <c r="C449" i="10"/>
  <c r="B449" i="10"/>
  <c r="J449" i="10"/>
  <c r="AO69" i="5"/>
  <c r="AP69" i="5"/>
  <c r="AS69" i="5" s="1"/>
  <c r="AT69" i="5" s="1"/>
  <c r="AZ69" i="5" s="1"/>
  <c r="BA69" i="5" s="1"/>
  <c r="AL70" i="5"/>
  <c r="AM71" i="5"/>
  <c r="AQ69" i="5"/>
  <c r="AR69" i="5" s="1"/>
  <c r="AO66" i="1" l="1"/>
  <c r="AQ66" i="1"/>
  <c r="AR66" i="1" s="1"/>
  <c r="AP66" i="1"/>
  <c r="AS66" i="1" s="1"/>
  <c r="G449" i="10"/>
  <c r="I449" i="10" s="1"/>
  <c r="K449" i="10" s="1"/>
  <c r="AM68" i="1"/>
  <c r="AL67" i="1"/>
  <c r="AO70" i="5"/>
  <c r="AP70" i="5"/>
  <c r="AS70" i="5" s="1"/>
  <c r="AT70" i="5" s="1"/>
  <c r="AZ70" i="5" s="1"/>
  <c r="BA70" i="5" s="1"/>
  <c r="AQ70" i="5"/>
  <c r="AR70" i="5" s="1"/>
  <c r="AL71" i="5"/>
  <c r="AM72" i="5"/>
  <c r="AO67" i="1" l="1"/>
  <c r="AP67" i="1"/>
  <c r="AS67" i="1" s="1"/>
  <c r="AQ67" i="1"/>
  <c r="AR67" i="1" s="1"/>
  <c r="AM69" i="1"/>
  <c r="AL68" i="1"/>
  <c r="AO71" i="5"/>
  <c r="AP71" i="5"/>
  <c r="AS71" i="5" s="1"/>
  <c r="AT71" i="5" s="1"/>
  <c r="AZ71" i="5" s="1"/>
  <c r="BA71" i="5" s="1"/>
  <c r="AL72" i="5"/>
  <c r="AM73" i="5"/>
  <c r="AL73" i="5" s="1"/>
  <c r="AQ71" i="5"/>
  <c r="AR71" i="5" s="1"/>
  <c r="AQ68" i="1" l="1"/>
  <c r="AR68" i="1" s="1"/>
  <c r="AO68" i="1"/>
  <c r="AP68" i="1"/>
  <c r="AS68" i="1" s="1"/>
  <c r="AM70" i="1"/>
  <c r="AL69" i="1"/>
  <c r="AO73" i="5"/>
  <c r="AP73" i="5"/>
  <c r="AS73" i="5" s="1"/>
  <c r="AT73" i="5" s="1"/>
  <c r="AZ73" i="5" s="1"/>
  <c r="BA73" i="5" s="1"/>
  <c r="AP72" i="5"/>
  <c r="AS72" i="5" s="1"/>
  <c r="AT72" i="5" s="1"/>
  <c r="AZ72" i="5" s="1"/>
  <c r="BA72" i="5" s="1"/>
  <c r="AO72" i="5"/>
  <c r="AQ73" i="5"/>
  <c r="AR73" i="5" s="1"/>
  <c r="AQ72" i="5"/>
  <c r="AR72" i="5" s="1"/>
  <c r="AM71" i="1" l="1"/>
  <c r="AL70" i="1"/>
  <c r="AP69" i="1"/>
  <c r="AS69" i="1" s="1"/>
  <c r="AQ69" i="1"/>
  <c r="AR69" i="1" s="1"/>
  <c r="AO69" i="1"/>
  <c r="AO70" i="1" l="1"/>
  <c r="AQ70" i="1"/>
  <c r="AR70" i="1" s="1"/>
  <c r="AP70" i="1"/>
  <c r="AS70" i="1" s="1"/>
  <c r="AM72" i="1"/>
  <c r="AL71" i="1"/>
  <c r="AO71" i="1" l="1"/>
  <c r="AP71" i="1"/>
  <c r="AS71" i="1" s="1"/>
  <c r="AQ71" i="1"/>
  <c r="AR71" i="1" s="1"/>
  <c r="AM73" i="1"/>
  <c r="AL72" i="1"/>
  <c r="AQ72" i="1" l="1"/>
  <c r="AR72" i="1" s="1"/>
  <c r="AO72" i="1"/>
  <c r="AP72" i="1"/>
  <c r="AS72" i="1" s="1"/>
  <c r="AL73" i="1"/>
  <c r="AP73" i="1" l="1"/>
  <c r="AS73" i="1" s="1"/>
  <c r="AQ73" i="1"/>
  <c r="AR73" i="1" s="1"/>
  <c r="AO73" i="1"/>
</calcChain>
</file>

<file path=xl/connections.xml><?xml version="1.0" encoding="utf-8"?>
<connections xmlns="http://schemas.openxmlformats.org/spreadsheetml/2006/main">
  <connection id="1" name="sd7062" type="6" refreshedVersion="4" background="1" saveData="1">
    <textPr codePage="437" sourceFile="C:\Users\Heriberto\Downloads\sd7062.dat" tab="0" space="1" consecutive="1">
      <textFields count="3"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<sst xmlns="http://schemas.openxmlformats.org/spreadsheetml/2006/main" count="4414" uniqueCount="2341">
  <si>
    <t xml:space="preserve">         9x9E                     (9x9E.dat)                                   12/25/14                       </t>
  </si>
  <si>
    <t xml:space="preserve">                                                                                                              </t>
  </si>
  <si>
    <t xml:space="preserve">         ====== PERFORMANCE DATA (versus advance ratio and MPH) ======                                        </t>
  </si>
  <si>
    <t xml:space="preserve">         DEFINITIONS:                                                                                         </t>
  </si>
  <si>
    <t xml:space="preserve">         J=V/nD (advance ratio)                                                                               </t>
  </si>
  <si>
    <t xml:space="preserve">         Ct=T/(rho * n**2 * D**4) (thrust coef.)                                                              </t>
  </si>
  <si>
    <t xml:space="preserve">         Cp=P/(rho * n**3 * D**5) (power coef.)                                                               </t>
  </si>
  <si>
    <t xml:space="preserve">         Pe=Ct*J/Cp (efficiency)                                                                              </t>
  </si>
  <si>
    <t xml:space="preserve">         V  (model speed in MPH)                                                                              </t>
  </si>
  <si>
    <t xml:space="preserve">         V          J           Pe         Ct          Cp          PWR         Torque      Thrust             </t>
  </si>
  <si>
    <t xml:space="preserve">       (mph)     (Adv Ratio)                                       (Hp)        (In-Lbf)     (Lbf)             </t>
  </si>
  <si>
    <t xml:space="preserve">         0.0        0.00      0.0000      0.1321      0.0793       0.000       0.024       0.028              </t>
  </si>
  <si>
    <t xml:space="preserve">         0.4        0.04      0.0705      0.1323      0.0811       0.000       0.024       0.028              </t>
  </si>
  <si>
    <t xml:space="preserve">         0.7        0.09      0.1379      0.1324      0.0831       0.000       0.025       0.028              </t>
  </si>
  <si>
    <t xml:space="preserve">         1.1        0.13      0.2022      0.1326      0.0851       0.000       0.025       0.028              </t>
  </si>
  <si>
    <t xml:space="preserve">         1.5        0.17      0.2631      0.1327      0.0873       0.000       0.026       0.028              </t>
  </si>
  <si>
    <t xml:space="preserve">         1.8        0.22      0.3211      0.1328      0.0894       0.000       0.027       0.028              </t>
  </si>
  <si>
    <t xml:space="preserve">         2.2        0.26      0.3757      0.1328      0.0917       0.000       0.027       0.028              </t>
  </si>
  <si>
    <t xml:space="preserve">         2.6        0.30      0.4271      0.1327      0.0941       0.000       0.028       0.028              </t>
  </si>
  <si>
    <t xml:space="preserve">         2.9        0.35      0.4754      0.1326      0.0965       0.000       0.029       0.028              </t>
  </si>
  <si>
    <t xml:space="preserve">         3.3        0.39      0.5206      0.1323      0.0989       0.000       0.030       0.028              </t>
  </si>
  <si>
    <t xml:space="preserve">         3.7        0.43      0.5627      0.1318      0.1013       0.000       0.030       0.028              </t>
  </si>
  <si>
    <t xml:space="preserve">         4.1        0.48      0.6019      0.1309      0.1035       0.000       0.031       0.027              </t>
  </si>
  <si>
    <t xml:space="preserve">         4.4        0.52      0.6382      0.1294      0.1052       0.000       0.031       0.027              </t>
  </si>
  <si>
    <t xml:space="preserve">         4.8        0.56      0.6719      0.1266      0.1059       0.001       0.032       0.026              </t>
  </si>
  <si>
    <t xml:space="preserve">         5.2        0.61      0.7025      0.1226      0.1057       0.001       0.032       0.026              </t>
  </si>
  <si>
    <t xml:space="preserve">         5.5        0.65      0.7298      0.1176      0.1046       0.000       0.031       0.025              </t>
  </si>
  <si>
    <t xml:space="preserve">         5.9        0.69      0.7540      0.1118      0.1026       0.000       0.031       0.023              </t>
  </si>
  <si>
    <t xml:space="preserve">         6.3        0.74      0.7749      0.1049      0.0996       0.000       0.030       0.022              </t>
  </si>
  <si>
    <t xml:space="preserve">         6.6        0.78      0.7929      0.0970      0.0952       0.000       0.029       0.020              </t>
  </si>
  <si>
    <t xml:space="preserve">         7.0        0.82      0.8078      0.0890      0.0905       0.000       0.027       0.019              </t>
  </si>
  <si>
    <t xml:space="preserve">         7.4        0.86      0.8198      0.0808      0.0853       0.000       0.026       0.017              </t>
  </si>
  <si>
    <t xml:space="preserve">         7.7        0.91      0.8294      0.0726      0.0795       0.000       0.024       0.015              </t>
  </si>
  <si>
    <t xml:space="preserve">         8.1        0.95      0.8374      0.0641      0.0729       0.000       0.022       0.013              </t>
  </si>
  <si>
    <t xml:space="preserve">         8.5        0.99      0.8439      0.0555      0.0654       0.000       0.020       0.012              </t>
  </si>
  <si>
    <t xml:space="preserve">         8.8        1.04      0.8479      0.0466      0.0570       0.000       0.017       0.010              </t>
  </si>
  <si>
    <t xml:space="preserve">         9.2        1.08      0.8489      0.0375      0.0478       0.000       0.014       0.008              </t>
  </si>
  <si>
    <t xml:space="preserve">         9.6        1.12      0.8407      0.0283      0.0378       0.000       0.011       0.006              </t>
  </si>
  <si>
    <t xml:space="preserve">        10.0        1.17      0.8123      0.0190      0.0273       0.000       0.008       0.004              </t>
  </si>
  <si>
    <t xml:space="preserve">        10.3        1.21      0.7192      0.0096      0.0162       0.000       0.005       0.002              </t>
  </si>
  <si>
    <t xml:space="preserve">        10.7        1.25      0.0013      0.0000      0.0048       0.000       0.001       0.000              </t>
  </si>
  <si>
    <t xml:space="preserve">         PROP RPM =       2000                                                                                </t>
  </si>
  <si>
    <t xml:space="preserve">         0.0        0.00      0.0000      0.1321      0.0794       0.003       0.095       0.110              </t>
  </si>
  <si>
    <t xml:space="preserve">         0.7        0.04      0.0704      0.1323      0.0812       0.003       0.097       0.111              </t>
  </si>
  <si>
    <t xml:space="preserve">         1.5        0.09      0.1378      0.1325      0.0831       0.003       0.100       0.111              </t>
  </si>
  <si>
    <t xml:space="preserve">         2.2        0.13      0.2020      0.1327      0.0852       0.003       0.102       0.111              </t>
  </si>
  <si>
    <t xml:space="preserve">         2.9        0.17      0.2629      0.1328      0.0873       0.003       0.105       0.111              </t>
  </si>
  <si>
    <t xml:space="preserve">         3.7        0.22      0.3208      0.1329      0.0895       0.003       0.107       0.111              </t>
  </si>
  <si>
    <t xml:space="preserve">         4.4        0.26      0.3754      0.1329      0.0918       0.003       0.110       0.111              </t>
  </si>
  <si>
    <t xml:space="preserve">         5.2        0.30      0.4268      0.1328      0.0942       0.004       0.113       0.111              </t>
  </si>
  <si>
    <t xml:space="preserve">         5.9        0.35      0.4750      0.1327      0.0966       0.004       0.116       0.111              </t>
  </si>
  <si>
    <t xml:space="preserve">         6.6        0.39      0.5202      0.1324      0.0990       0.004       0.119       0.111              </t>
  </si>
  <si>
    <t xml:space="preserve">         7.4        0.43      0.5624      0.1319      0.1014       0.004       0.121       0.110              </t>
  </si>
  <si>
    <t xml:space="preserve">         8.1        0.48      0.6016      0.1310      0.1036       0.004       0.124       0.110              </t>
  </si>
  <si>
    <t xml:space="preserve">         8.8        0.52      0.6379      0.1295      0.1053       0.004       0.126       0.108              </t>
  </si>
  <si>
    <t xml:space="preserve">         9.6        0.56      0.6716      0.1267      0.1060       0.004       0.127       0.106              </t>
  </si>
  <si>
    <t xml:space="preserve">        10.3        0.61      0.7022      0.1228      0.1058       0.004       0.127       0.103              </t>
  </si>
  <si>
    <t xml:space="preserve">        11.1        0.65      0.7296      0.1178      0.1047       0.004       0.125       0.098              </t>
  </si>
  <si>
    <t xml:space="preserve">        11.8        0.69      0.7537      0.1119      0.1027       0.004       0.123       0.094              </t>
  </si>
  <si>
    <t xml:space="preserve">        12.5        0.73      0.7747      0.1051      0.0997       0.004       0.119       0.088              </t>
  </si>
  <si>
    <t xml:space="preserve">        13.3        0.78      0.7928      0.0972      0.0954       0.004       0.114       0.081              </t>
  </si>
  <si>
    <t xml:space="preserve">        14.0        0.82      0.8077      0.0892      0.0907       0.003       0.109       0.075              </t>
  </si>
  <si>
    <t xml:space="preserve">        14.7        0.86      0.8198      0.0810      0.0855       0.003       0.102       0.068              </t>
  </si>
  <si>
    <t xml:space="preserve">        15.5        0.91      0.8294      0.0728      0.0796       0.003       0.095       0.061              </t>
  </si>
  <si>
    <t xml:space="preserve">        16.2        0.95      0.8374      0.0643      0.0730       0.003       0.087       0.054              </t>
  </si>
  <si>
    <t xml:space="preserve">        16.9        0.99      0.8439      0.0557      0.0656       0.002       0.079       0.047              </t>
  </si>
  <si>
    <t xml:space="preserve">        17.7        1.04      0.8479      0.0468      0.0572       0.002       0.069       0.039              </t>
  </si>
  <si>
    <t xml:space="preserve">        18.4        1.08      0.8490      0.0377      0.0479       0.002       0.057       0.031              </t>
  </si>
  <si>
    <t xml:space="preserve">        19.2        1.12      0.8409      0.0284      0.0380       0.001       0.045       0.024              </t>
  </si>
  <si>
    <t xml:space="preserve">        19.9        1.17      0.8123      0.0191      0.0274       0.001       0.033       0.016              </t>
  </si>
  <si>
    <t xml:space="preserve">        20.6        1.21      0.7182      0.0096      0.0161       0.001       0.019       0.008              </t>
  </si>
  <si>
    <t xml:space="preserve">        21.4        1.25     -0.0012      0.0000      0.0048       0.000       0.006       0.000              </t>
  </si>
  <si>
    <t xml:space="preserve">         PROP RPM =       3000                                                                                </t>
  </si>
  <si>
    <t xml:space="preserve">         0.0        0.00      0.0000      0.1321      0.0792       0.010       0.213       0.248              </t>
  </si>
  <si>
    <t xml:space="preserve">         1.1        0.04      0.0705      0.1323      0.0810       0.010       0.218       0.249              </t>
  </si>
  <si>
    <t xml:space="preserve">         2.2        0.09      0.1380      0.1325      0.0830       0.011       0.224       0.249              </t>
  </si>
  <si>
    <t xml:space="preserve">         3.3        0.13      0.2022      0.1326      0.0850       0.011       0.229       0.250              </t>
  </si>
  <si>
    <t xml:space="preserve">         4.4        0.17      0.2633      0.1328      0.0872       0.011       0.235       0.250              </t>
  </si>
  <si>
    <t xml:space="preserve">         5.5        0.22      0.3211      0.1328      0.0894       0.011       0.241       0.250              </t>
  </si>
  <si>
    <t xml:space="preserve">         6.6        0.26      0.3757      0.1329      0.0917       0.012       0.247       0.250              </t>
  </si>
  <si>
    <t xml:space="preserve">         7.7        0.30      0.4271      0.1328      0.0940       0.012       0.253       0.250              </t>
  </si>
  <si>
    <t xml:space="preserve">         8.8        0.35      0.4754      0.1326      0.0964       0.012       0.260       0.249              </t>
  </si>
  <si>
    <t xml:space="preserve">         9.9        0.39      0.5206      0.1323      0.0989       0.013       0.266       0.249              </t>
  </si>
  <si>
    <t xml:space="preserve">        11.0        0.43      0.5627      0.1318      0.1013       0.013       0.273       0.248              </t>
  </si>
  <si>
    <t xml:space="preserve">        12.2        0.48      0.6018      0.1310      0.1035       0.013       0.279       0.246              </t>
  </si>
  <si>
    <t xml:space="preserve">        13.3        0.52      0.6381      0.1295      0.1052       0.013       0.283       0.244              </t>
  </si>
  <si>
    <t xml:space="preserve">        14.4        0.56      0.6718      0.1266      0.1059       0.014       0.285       0.238              </t>
  </si>
  <si>
    <t xml:space="preserve">        15.5        0.60      0.7023      0.1227      0.1057       0.014       0.285       0.231              </t>
  </si>
  <si>
    <t xml:space="preserve">        16.6        0.65      0.7296      0.1177      0.1046       0.013       0.282       0.221              </t>
  </si>
  <si>
    <t xml:space="preserve">        17.7        0.69      0.7538      0.1119      0.1026       0.013       0.277       0.210              </t>
  </si>
  <si>
    <t xml:space="preserve">        18.8        0.73      0.7747      0.1051      0.0996       0.013       0.268       0.198              </t>
  </si>
  <si>
    <t xml:space="preserve">        19.9        0.78      0.7927      0.0972      0.0954       0.012       0.257       0.183              </t>
  </si>
  <si>
    <t xml:space="preserve">        21.0        0.82      0.8076      0.0892      0.0907       0.012       0.244       0.168              </t>
  </si>
  <si>
    <t xml:space="preserve">        22.1        0.86      0.8197      0.0811      0.0855       0.011       0.230       0.153              </t>
  </si>
  <si>
    <t xml:space="preserve">        23.2        0.91      0.8294      0.0729      0.0798       0.010       0.215       0.137              </t>
  </si>
  <si>
    <t xml:space="preserve">        24.3        0.95      0.8374      0.0645      0.0732       0.009       0.197       0.121              </t>
  </si>
  <si>
    <t xml:space="preserve">        25.4        0.99      0.8439      0.0559      0.0658       0.008       0.177       0.105              </t>
  </si>
  <si>
    <t xml:space="preserve">        26.5        1.04      0.8480      0.0470      0.0575       0.007       0.155       0.088              </t>
  </si>
  <si>
    <t xml:space="preserve">        27.6        1.08      0.8491      0.0379      0.0482       0.006       0.130       0.071              </t>
  </si>
  <si>
    <t xml:space="preserve">        28.7        1.12      0.8411      0.0285      0.0381       0.005       0.103       0.054              </t>
  </si>
  <si>
    <t xml:space="preserve">        29.8        1.17      0.8127      0.0191      0.0275       0.004       0.074       0.036              </t>
  </si>
  <si>
    <t xml:space="preserve">        30.9        1.21      0.7184      0.0096      0.0162       0.002       0.044       0.018              </t>
  </si>
  <si>
    <t xml:space="preserve">        32.0        1.25      0.0043      0.0000      0.0049       0.001       0.013       0.000              </t>
  </si>
  <si>
    <t xml:space="preserve">         PROP RPM =       4000                                                                                </t>
  </si>
  <si>
    <t xml:space="preserve">         0.0        0.00      0.0000      0.1321      0.0793       0.024       0.380       0.442              </t>
  </si>
  <si>
    <t xml:space="preserve">         1.5        0.04      0.0704      0.1323      0.0811       0.025       0.388       0.442              </t>
  </si>
  <si>
    <t xml:space="preserve">         2.9        0.09      0.1378      0.1325      0.0831       0.025       0.398       0.443              </t>
  </si>
  <si>
    <t xml:space="preserve">         4.4        0.13      0.2019      0.1327      0.0851       0.026       0.408       0.444              </t>
  </si>
  <si>
    <t xml:space="preserve">         5.9        0.17      0.2629      0.1328      0.0872       0.027       0.418       0.444              </t>
  </si>
  <si>
    <t xml:space="preserve">         7.4        0.22      0.3207      0.1329      0.0895       0.027       0.429       0.444              </t>
  </si>
  <si>
    <t xml:space="preserve">         8.8        0.26      0.3753      0.1329      0.0918       0.028       0.440       0.444              </t>
  </si>
  <si>
    <t xml:space="preserve">        10.3        0.30      0.4266      0.1328      0.0941       0.029       0.451       0.444              </t>
  </si>
  <si>
    <t xml:space="preserve">        11.8        0.35      0.4749      0.1327      0.0965       0.029       0.462       0.444              </t>
  </si>
  <si>
    <t xml:space="preserve">        13.3        0.39      0.5200      0.1324      0.0990       0.030       0.474       0.443              </t>
  </si>
  <si>
    <t xml:space="preserve">        14.7        0.43      0.5621      0.1319      0.1014       0.031       0.485       0.441              </t>
  </si>
  <si>
    <t xml:space="preserve">        16.2        0.48      0.6013      0.1311      0.1036       0.031       0.496       0.438              </t>
  </si>
  <si>
    <t xml:space="preserve">        17.7        0.52      0.6376      0.1296      0.1053       0.032       0.505       0.433              </t>
  </si>
  <si>
    <t xml:space="preserve">        19.1        0.56      0.6712      0.1268      0.1061       0.032       0.508       0.424              </t>
  </si>
  <si>
    <t xml:space="preserve">        20.6        0.60      0.7019      0.1229      0.1059       0.032       0.507       0.411              </t>
  </si>
  <si>
    <t xml:space="preserve">        22.1        0.65      0.7292      0.1179      0.1048       0.032       0.502       0.394              </t>
  </si>
  <si>
    <t xml:space="preserve">        23.6        0.69      0.7534      0.1121      0.1028       0.031       0.493       0.375              </t>
  </si>
  <si>
    <t xml:space="preserve">        25.0        0.73      0.7744      0.1053      0.0999       0.030       0.478       0.352              </t>
  </si>
  <si>
    <t xml:space="preserve">        26.5        0.78      0.7925      0.0975      0.0956       0.029       0.458       0.326              </t>
  </si>
  <si>
    <t xml:space="preserve">        28.0        0.82      0.8074      0.0895      0.0909       0.028       0.436       0.299              </t>
  </si>
  <si>
    <t xml:space="preserve">        29.4        0.86      0.8196      0.0814      0.0857       0.026       0.411       0.272              </t>
  </si>
  <si>
    <t xml:space="preserve">        30.9        0.91      0.8293      0.0731      0.0800       0.024       0.383       0.245              </t>
  </si>
  <si>
    <t xml:space="preserve">        32.4        0.95      0.8373      0.0647      0.0734       0.022       0.352       0.216              </t>
  </si>
  <si>
    <t xml:space="preserve">        33.9        0.99      0.8439      0.0561      0.0660       0.020       0.316       0.188              </t>
  </si>
  <si>
    <t xml:space="preserve">        35.3        1.04      0.8481      0.0472      0.0577       0.018       0.276       0.158              </t>
  </si>
  <si>
    <t xml:space="preserve">        36.8        1.08      0.8493      0.0381      0.0484       0.015       0.232       0.127              </t>
  </si>
  <si>
    <t xml:space="preserve">        38.3        1.12      0.8415      0.0287      0.0384       0.012       0.184       0.096              </t>
  </si>
  <si>
    <t xml:space="preserve">        39.8        1.17      0.8135      0.0193      0.0276       0.008       0.132       0.064              </t>
  </si>
  <si>
    <t xml:space="preserve">        41.2        1.21      0.7199      0.0097      0.0163       0.005       0.078       0.032              </t>
  </si>
  <si>
    <t xml:space="preserve">        42.7        1.25     -0.0043      0.0000      0.0048       0.001       0.023       0.000              </t>
  </si>
  <si>
    <t xml:space="preserve">         PROP RPM =       5000                                                                                </t>
  </si>
  <si>
    <t xml:space="preserve">         0.0        0.00      0.0000      0.1321      0.0794       0.047       0.594       0.690              </t>
  </si>
  <si>
    <t xml:space="preserve">         1.8        0.04      0.0703      0.1323      0.0812       0.048       0.608       0.691              </t>
  </si>
  <si>
    <t xml:space="preserve">         3.7        0.09      0.1376      0.1325      0.0832       0.049       0.623       0.692              </t>
  </si>
  <si>
    <t xml:space="preserve">         5.5        0.13      0.2016      0.1327      0.0852       0.051       0.638       0.693              </t>
  </si>
  <si>
    <t xml:space="preserve">         7.4        0.17      0.2625      0.1328      0.0874       0.052       0.654       0.694              </t>
  </si>
  <si>
    <t xml:space="preserve">         9.2        0.22      0.3203      0.1329      0.0896       0.053       0.670       0.694              </t>
  </si>
  <si>
    <t xml:space="preserve">        11.0        0.26      0.3747      0.1329      0.0919       0.055       0.688       0.695              </t>
  </si>
  <si>
    <t xml:space="preserve">        12.9        0.30      0.4261      0.1329      0.0943       0.056       0.705       0.694              </t>
  </si>
  <si>
    <t xml:space="preserve">        14.7        0.35      0.4743      0.1328      0.0967       0.057       0.724       0.694              </t>
  </si>
  <si>
    <t xml:space="preserve">        16.6        0.39      0.5194      0.1325      0.0991       0.059       0.742       0.692              </t>
  </si>
  <si>
    <t xml:space="preserve">        18.4        0.43      0.5616      0.1320      0.1015       0.060       0.760       0.690              </t>
  </si>
  <si>
    <t xml:space="preserve">        20.2        0.47      0.6008      0.1312      0.1037       0.062       0.776       0.686              </t>
  </si>
  <si>
    <t xml:space="preserve">        22.1        0.52      0.6371      0.1298      0.1055       0.063       0.790       0.678              </t>
  </si>
  <si>
    <t xml:space="preserve">        23.9        0.56      0.6707      0.1271      0.1063       0.063       0.796       0.664              </t>
  </si>
  <si>
    <t xml:space="preserve">        25.8        0.60      0.7014      0.1231      0.1061       0.063       0.794       0.643              </t>
  </si>
  <si>
    <t xml:space="preserve">        27.6        0.65      0.7288      0.1182      0.1050       0.062       0.786       0.618              </t>
  </si>
  <si>
    <t xml:space="preserve">        29.4        0.69      0.7531      0.1124      0.1031       0.061       0.772       0.587              </t>
  </si>
  <si>
    <t xml:space="preserve">        31.3        0.73      0.7742      0.1056      0.1001       0.059       0.750       0.552              </t>
  </si>
  <si>
    <t xml:space="preserve">        33.1        0.78      0.7924      0.0977      0.0959       0.057       0.717       0.511              </t>
  </si>
  <si>
    <t xml:space="preserve">        35.0        0.82      0.8074      0.0897      0.0912       0.054       0.682       0.469              </t>
  </si>
  <si>
    <t xml:space="preserve">        36.8        0.86      0.8195      0.0816      0.0860       0.051       0.643       0.426              </t>
  </si>
  <si>
    <t xml:space="preserve">        38.6        0.91      0.8293      0.0733      0.0802       0.048       0.600       0.383              </t>
  </si>
  <si>
    <t xml:space="preserve">        40.5        0.95      0.8374      0.0649      0.0737       0.044       0.551       0.339              </t>
  </si>
  <si>
    <t xml:space="preserve">        42.3        0.99      0.8439      0.0563      0.0662       0.039       0.496       0.294              </t>
  </si>
  <si>
    <t xml:space="preserve">        44.2        1.04      0.8481      0.0474      0.0579       0.034       0.433       0.248              </t>
  </si>
  <si>
    <t xml:space="preserve">        46.0        1.08      0.8494      0.0382      0.0486       0.029       0.364       0.200              </t>
  </si>
  <si>
    <t xml:space="preserve">        47.8        1.12      0.8418      0.0289      0.0385       0.023       0.288       0.151              </t>
  </si>
  <si>
    <t xml:space="preserve">        49.7        1.17      0.8140      0.0194      0.0278       0.016       0.208       0.101              </t>
  </si>
  <si>
    <t xml:space="preserve">        51.5        1.21      0.7207      0.0097      0.0163       0.010       0.122       0.051              </t>
  </si>
  <si>
    <t xml:space="preserve">        53.4        1.25     -0.0006      0.0000      0.0048       0.003       0.036       0.000              </t>
  </si>
  <si>
    <t xml:space="preserve">         PROP RPM =       6000                                                                                </t>
  </si>
  <si>
    <t xml:space="preserve">         0.0        0.00      0.0000      0.1320      0.0787       0.081       0.848       0.993              </t>
  </si>
  <si>
    <t xml:space="preserve">         2.2        0.04      0.0708      0.1322      0.0806       0.083       0.868       0.994              </t>
  </si>
  <si>
    <t xml:space="preserve">         4.4        0.09      0.1384      0.1324      0.0825       0.085       0.890       0.996              </t>
  </si>
  <si>
    <t xml:space="preserve">         6.6        0.13      0.2028      0.1325      0.0846       0.087       0.912       0.997              </t>
  </si>
  <si>
    <t xml:space="preserve">         8.8        0.17      0.2640      0.1327      0.0868       0.089       0.935       0.998              </t>
  </si>
  <si>
    <t xml:space="preserve">        11.0        0.22      0.3218      0.1328      0.0890       0.091       0.960       0.999              </t>
  </si>
  <si>
    <t xml:space="preserve">        13.2        0.26      0.3765      0.1328      0.0914       0.094       0.985       0.999              </t>
  </si>
  <si>
    <t xml:space="preserve">        15.5        0.30      0.4279      0.1328      0.0938       0.096       1.010       0.999              </t>
  </si>
  <si>
    <t xml:space="preserve">        17.7        0.35      0.4762      0.1326      0.0962       0.099       1.037       0.998              </t>
  </si>
  <si>
    <t xml:space="preserve">        19.9        0.39      0.5212      0.1324      0.0987       0.101       1.063       0.996              </t>
  </si>
  <si>
    <t xml:space="preserve">        22.1        0.43      0.5632      0.1319      0.1011       0.104       1.090       0.993              </t>
  </si>
  <si>
    <t xml:space="preserve">        24.3        0.47      0.6022      0.1311      0.1034       0.106       1.114       0.987              </t>
  </si>
  <si>
    <t xml:space="preserve">        26.5        0.52      0.6383      0.1297      0.1053       0.108       1.135       0.976              </t>
  </si>
  <si>
    <t xml:space="preserve">        28.7        0.56      0.6719      0.1271      0.1061       0.109       1.144       0.956              </t>
  </si>
  <si>
    <t xml:space="preserve">        30.9        0.60      0.7025      0.1232      0.1059       0.109       1.142       0.927              </t>
  </si>
  <si>
    <t xml:space="preserve">        33.1        0.65      0.7299      0.1183      0.1049       0.108       1.131       0.890              </t>
  </si>
  <si>
    <t xml:space="preserve">        35.3        0.69      0.7543      0.1125      0.1030       0.106       1.110       0.846              </t>
  </si>
  <si>
    <t xml:space="preserve">        37.5        0.73      0.7758      0.1057      0.1000       0.103       1.077       0.795              </t>
  </si>
  <si>
    <t xml:space="preserve">        39.7        0.78      0.7946      0.0978      0.0956       0.098       1.031       0.736              </t>
  </si>
  <si>
    <t xml:space="preserve">        41.9        0.82      0.8105      0.0898      0.0908       0.093       0.979       0.676              </t>
  </si>
  <si>
    <t xml:space="preserve">        44.1        0.86      0.8237      0.0816      0.0855       0.088       0.922       0.614              </t>
  </si>
  <si>
    <t xml:space="preserve">        46.4        0.91      0.8345      0.0734      0.0797       0.082       0.859       0.552              </t>
  </si>
  <si>
    <t xml:space="preserve">        48.6        0.95      0.8436      0.0649      0.0731       0.075       0.787       0.488              </t>
  </si>
  <si>
    <t xml:space="preserve">        50.8        0.99      0.8509      0.0562      0.0656       0.067       0.707       0.423              </t>
  </si>
  <si>
    <t xml:space="preserve">        53.0        1.04      0.8556      0.0473      0.0573       0.059       0.617       0.356              </t>
  </si>
  <si>
    <t xml:space="preserve">        55.2        1.08      0.8571      0.0382      0.0481       0.049       0.518       0.287              </t>
  </si>
  <si>
    <t xml:space="preserve">        57.4        1.12      0.8496      0.0289      0.0381       0.039       0.411       0.217              </t>
  </si>
  <si>
    <t xml:space="preserve">        59.6        1.17      0.8224      0.0194      0.0275       0.028       0.296       0.146              </t>
  </si>
  <si>
    <t xml:space="preserve">        61.8        1.21      0.7321      0.0098      0.0161       0.017       0.174       0.073              </t>
  </si>
  <si>
    <t xml:space="preserve">        64.0        1.25      0.0015      0.0000      0.0047       0.005       0.051       0.000              </t>
  </si>
  <si>
    <t xml:space="preserve">         PROP RPM =       7000                                                                                </t>
  </si>
  <si>
    <t xml:space="preserve">         0.0        0.00      0.0000      0.1316      0.0749       0.122       1.099       1.347              </t>
  </si>
  <si>
    <t xml:space="preserve">         2.6        0.04      0.0738      0.1317      0.0770       0.125       1.129       1.349              </t>
  </si>
  <si>
    <t xml:space="preserve">         5.1        0.09      0.1438      0.1320      0.0792       0.129       1.161       1.351              </t>
  </si>
  <si>
    <t xml:space="preserve">         7.7        0.13      0.2100      0.1321      0.0815       0.133       1.195       1.353              </t>
  </si>
  <si>
    <t xml:space="preserve">        10.3        0.17      0.2724      0.1323      0.0838       0.137       1.230       1.355              </t>
  </si>
  <si>
    <t xml:space="preserve">        12.9        0.22      0.3310      0.1324      0.0863       0.141       1.266       1.356              </t>
  </si>
  <si>
    <t xml:space="preserve">        15.4        0.26      0.3858      0.1324      0.0889       0.145       1.304       1.356              </t>
  </si>
  <si>
    <t xml:space="preserve">        18.0        0.30      0.4371      0.1324      0.0915       0.149       1.342       1.356              </t>
  </si>
  <si>
    <t xml:space="preserve">        20.6        0.35      0.4850      0.1323      0.0942       0.153       1.382       1.355              </t>
  </si>
  <si>
    <t xml:space="preserve">        23.2        0.39      0.5293      0.1321      0.0969       0.158       1.422       1.353              </t>
  </si>
  <si>
    <t xml:space="preserve">        25.7        0.43      0.5705      0.1317      0.0996       0.162       1.461       1.349              </t>
  </si>
  <si>
    <t xml:space="preserve">        28.3        0.47      0.6086      0.1310      0.1022       0.166       1.499       1.342              </t>
  </si>
  <si>
    <t xml:space="preserve">        30.9        0.52      0.6438      0.1297      0.1043       0.170       1.530       1.328              </t>
  </si>
  <si>
    <t xml:space="preserve">        33.5        0.56      0.6765      0.1271      0.1054       0.172       1.546       1.302              </t>
  </si>
  <si>
    <t xml:space="preserve">        36.0        0.60      0.7065      0.1233      0.1054       0.172       1.547       1.263              </t>
  </si>
  <si>
    <t xml:space="preserve">        38.6        0.65      0.7335      0.1185      0.1045       0.170       1.533       1.213              </t>
  </si>
  <si>
    <t xml:space="preserve">        41.2        0.69      0.7578      0.1127      0.1027       0.167       1.506       1.154              </t>
  </si>
  <si>
    <t xml:space="preserve">        43.8        0.73      0.7797      0.1060      0.0997       0.162       1.462       1.085              </t>
  </si>
  <si>
    <t xml:space="preserve">        46.3        0.78      0.7993      0.0981      0.0953       0.155       1.398       1.004              </t>
  </si>
  <si>
    <t xml:space="preserve">        48.9        0.82      0.8162      0.0900      0.0904       0.147       1.326       0.922              </t>
  </si>
  <si>
    <t xml:space="preserve">        51.5        0.86      0.8306      0.0818      0.0850       0.138       1.247       0.838              </t>
  </si>
  <si>
    <t xml:space="preserve">        54.1        0.91      0.8425      0.0735      0.0790       0.129       1.159       0.752              </t>
  </si>
  <si>
    <t xml:space="preserve">        56.6        0.95      0.8526      0.0649      0.0723       0.118       1.061       0.665              </t>
  </si>
  <si>
    <t xml:space="preserve">        59.2        0.99      0.8602      0.0562      0.0648       0.106       0.951       0.576              </t>
  </si>
  <si>
    <t xml:space="preserve">        61.8        1.04      0.8651      0.0473      0.0566       0.092       0.831       0.484              </t>
  </si>
  <si>
    <t xml:space="preserve">        64.4        1.08      0.8665      0.0382      0.0476       0.077       0.698       0.391              </t>
  </si>
  <si>
    <t xml:space="preserve">        66.9        1.12      0.8585      0.0289      0.0377       0.062       0.554       0.296              </t>
  </si>
  <si>
    <t xml:space="preserve">        69.5        1.17      0.8309      0.0194      0.0272       0.044       0.399       0.199              </t>
  </si>
  <si>
    <t xml:space="preserve">        72.1        1.21      0.7395      0.0098      0.0159       0.026       0.234       0.100              </t>
  </si>
  <si>
    <t xml:space="preserve">        74.7        1.25     -0.0022      0.0000      0.0046       0.008       0.068       0.000              </t>
  </si>
  <si>
    <t xml:space="preserve">         PROP RPM =       8000                                                                                </t>
  </si>
  <si>
    <t xml:space="preserve">         0.0        0.00      0.0000      0.1312      0.0716       0.174       1.372       1.755              </t>
  </si>
  <si>
    <t xml:space="preserve">         2.9        0.04      0.0768      0.1314      0.0738       0.180       1.414       1.757              </t>
  </si>
  <si>
    <t xml:space="preserve">         5.9        0.09      0.1490      0.1316      0.0762       0.185       1.459       1.760              </t>
  </si>
  <si>
    <t xml:space="preserve">         8.8        0.13      0.2169      0.1318      0.0786       0.191       1.507       1.763              </t>
  </si>
  <si>
    <t xml:space="preserve">        11.8        0.17      0.2803      0.1319      0.0812       0.198       1.556       1.765              </t>
  </si>
  <si>
    <t xml:space="preserve">        14.7        0.22      0.3395      0.1320      0.0839       0.204       1.607       1.766              </t>
  </si>
  <si>
    <t xml:space="preserve">        17.6        0.26      0.3946      0.1321      0.0867       0.211       1.660       1.767              </t>
  </si>
  <si>
    <t xml:space="preserve">        20.6        0.30      0.4458      0.1321      0.0895       0.218       1.715       1.767              </t>
  </si>
  <si>
    <t xml:space="preserve">        23.5        0.35      0.4931      0.1320      0.0924       0.225       1.770       1.766              </t>
  </si>
  <si>
    <t xml:space="preserve">        26.5        0.39      0.5369      0.1318      0.0953       0.232       1.826       1.763              </t>
  </si>
  <si>
    <t xml:space="preserve">        29.4        0.43      0.5772      0.1315      0.0982       0.239       1.882       1.758              </t>
  </si>
  <si>
    <t xml:space="preserve">        32.4        0.47      0.6144      0.1308      0.1010       0.246       1.935       1.750              </t>
  </si>
  <si>
    <t xml:space="preserve">        35.3        0.52      0.6486      0.1296      0.1034       0.252       1.982       1.734              </t>
  </si>
  <si>
    <t xml:space="preserve">        38.2        0.56      0.6805      0.1272      0.1048       0.255       2.009       1.702              </t>
  </si>
  <si>
    <t xml:space="preserve">        41.2        0.60      0.7099      0.1235      0.1050       0.255       2.012       1.652              </t>
  </si>
  <si>
    <t xml:space="preserve">        44.1        0.65      0.7366      0.1187      0.1043       0.254       1.998       1.588              </t>
  </si>
  <si>
    <t xml:space="preserve">        47.1        0.69      0.7609      0.1129      0.1024       0.249       1.962       1.510              </t>
  </si>
  <si>
    <t xml:space="preserve">        50.0        0.73      0.7830      0.1062      0.0995       0.242       1.906       1.421              </t>
  </si>
  <si>
    <t xml:space="preserve">        52.9        0.78      0.8033      0.0983      0.0950       0.231       1.821       1.315              </t>
  </si>
  <si>
    <t xml:space="preserve">        55.9        0.82      0.8211      0.0903      0.0901       0.219       1.726       1.207              </t>
  </si>
  <si>
    <t xml:space="preserve">        58.8        0.86      0.8365      0.0820      0.0846       0.206       1.621       1.097              </t>
  </si>
  <si>
    <t xml:space="preserve">        61.8        0.91      0.8495      0.0736      0.0785       0.191       1.504       0.985              </t>
  </si>
  <si>
    <t xml:space="preserve">        64.7        0.95      0.8605      0.0651      0.0717       0.174       1.375       0.870              </t>
  </si>
  <si>
    <t xml:space="preserve">        67.6        0.99      0.8686      0.0563      0.0643       0.156       1.232       0.753              </t>
  </si>
  <si>
    <t xml:space="preserve">        70.6        1.04      0.8737      0.0474      0.0561       0.136       1.075       0.634              </t>
  </si>
  <si>
    <t xml:space="preserve">        73.5        1.08      0.8749      0.0383      0.0472       0.115       0.903       0.512              </t>
  </si>
  <si>
    <t xml:space="preserve">        76.5        1.12      0.8666      0.0289      0.0374       0.091       0.717       0.387              </t>
  </si>
  <si>
    <t xml:space="preserve">        79.4        1.16      0.8386      0.0194      0.0270       0.066       0.518       0.260              </t>
  </si>
  <si>
    <t xml:space="preserve">        82.3        1.21      0.7463      0.0098      0.0158       0.038       0.303       0.131              </t>
  </si>
  <si>
    <t xml:space="preserve">        85.3        1.25     -0.0094      0.0000      0.0045       0.011       0.086       0.000              </t>
  </si>
  <si>
    <t xml:space="preserve">         PROP RPM =       9000                                                                                </t>
  </si>
  <si>
    <t xml:space="preserve">         0.0        0.00      0.0000      0.1309      0.0687       0.238       1.666       2.216              </t>
  </si>
  <si>
    <t xml:space="preserve">         3.3        0.04      0.0795      0.1311      0.0711       0.246       1.723       2.219              </t>
  </si>
  <si>
    <t xml:space="preserve">         6.6        0.09      0.1539      0.1313      0.0736       0.255       1.784       2.222              </t>
  </si>
  <si>
    <t xml:space="preserve">         9.9        0.13      0.2231      0.1315      0.0762       0.264       1.848       2.226              </t>
  </si>
  <si>
    <t xml:space="preserve">        13.2        0.17      0.2875      0.1316      0.0790       0.273       1.915       2.229              </t>
  </si>
  <si>
    <t xml:space="preserve">        16.5        0.22      0.3472      0.1318      0.0818       0.283       1.984       2.231              </t>
  </si>
  <si>
    <t xml:space="preserve">        19.8        0.26      0.4030      0.1319      0.0847       0.293       2.053       2.233              </t>
  </si>
  <si>
    <t xml:space="preserve">        23.1        0.30      0.4540      0.1320      0.0877       0.304       2.127       2.234              </t>
  </si>
  <si>
    <t xml:space="preserve">        26.5        0.34      0.5009      0.1319      0.0908       0.314       2.202       2.233              </t>
  </si>
  <si>
    <t xml:space="preserve">        29.8        0.39      0.5440      0.1318      0.0940       0.325       2.278       2.231              </t>
  </si>
  <si>
    <t xml:space="preserve">        33.1        0.43      0.5836      0.1315      0.0971       0.336       2.354       2.225              </t>
  </si>
  <si>
    <t xml:space="preserve">        36.4        0.47      0.6200      0.1309      0.1001       0.347       2.428       2.216              </t>
  </si>
  <si>
    <t xml:space="preserve">        39.7        0.52      0.6534      0.1299      0.1028       0.356       2.493       2.198              </t>
  </si>
  <si>
    <t xml:space="preserve">        43.0        0.56      0.6845      0.1276      0.1045       0.362       2.533       2.160              </t>
  </si>
  <si>
    <t xml:space="preserve">        46.3        0.60      0.7134      0.1239      0.1048       0.363       2.542       2.098              </t>
  </si>
  <si>
    <t xml:space="preserve">        49.6        0.65      0.7396      0.1192      0.1042       0.361       2.527       2.018              </t>
  </si>
  <si>
    <t xml:space="preserve">        52.9        0.69      0.7637      0.1135      0.1025       0.355       2.487       1.922              </t>
  </si>
  <si>
    <t xml:space="preserve">        56.2        0.73      0.7861      0.1069      0.0996       0.345       2.416       1.809              </t>
  </si>
  <si>
    <t xml:space="preserve">        59.5        0.78      0.8070      0.0990      0.0952       0.330       2.307       1.675              </t>
  </si>
  <si>
    <t xml:space="preserve">        62.8        0.82      0.8256      0.0909      0.0901       0.312       2.186       1.538              </t>
  </si>
  <si>
    <t xml:space="preserve">        66.1        0.86      0.8420      0.0826      0.0846       0.293       2.051       1.398              </t>
  </si>
  <si>
    <t xml:space="preserve">        69.4        0.91      0.8559      0.0741      0.0784       0.271       1.900       1.254              </t>
  </si>
  <si>
    <t xml:space="preserve">        72.7        0.95      0.8679      0.0654      0.0715       0.248       1.734       1.108              </t>
  </si>
  <si>
    <t xml:space="preserve">        76.1        0.99      0.8761      0.0566      0.0641       0.222       1.553       0.958              </t>
  </si>
  <si>
    <t xml:space="preserve">        79.4        1.03      0.8811      0.0476      0.0559       0.194       1.356       0.806              </t>
  </si>
  <si>
    <t xml:space="preserve">        82.7        1.08      0.8823      0.0385      0.0470       0.163       1.139       0.651              </t>
  </si>
  <si>
    <t xml:space="preserve">        86.0        1.12      0.8737      0.0291      0.0373       0.129       0.904       0.492              </t>
  </si>
  <si>
    <t xml:space="preserve">        89.3        1.16      0.8457      0.0195      0.0269       0.093       0.651       0.330              </t>
  </si>
  <si>
    <t xml:space="preserve">        92.6        1.21      0.7502      0.0098      0.0158       0.055       0.383       0.166              </t>
  </si>
  <si>
    <t xml:space="preserve">        95.9        1.25     -0.0079      0.0000      0.0045       0.016       0.109       0.000              </t>
  </si>
  <si>
    <t xml:space="preserve">         PROP RPM =      10000                                                                                </t>
  </si>
  <si>
    <t xml:space="preserve">         0.0        0.00      0.0000      0.1320      0.0785       0.373       2.350       2.759              </t>
  </si>
  <si>
    <t xml:space="preserve">         3.7        0.04      0.0709      0.1322      0.0803       0.382       2.405       2.763              </t>
  </si>
  <si>
    <t xml:space="preserve">         7.3        0.09      0.1385      0.1324      0.0824       0.391       2.466       2.768              </t>
  </si>
  <si>
    <t xml:space="preserve">        11.0        0.13      0.2027      0.1327      0.0846       0.402       2.534       2.773              </t>
  </si>
  <si>
    <t xml:space="preserve">        14.7        0.17      0.2633      0.1329      0.0870       0.413       2.605       2.778              </t>
  </si>
  <si>
    <t xml:space="preserve">        18.4        0.22      0.3204      0.1331      0.0895       0.425       2.679       2.782              </t>
  </si>
  <si>
    <t xml:space="preserve">        22.0        0.26      0.3742      0.1332      0.0920       0.437       2.756       2.785              </t>
  </si>
  <si>
    <t xml:space="preserve">        25.7        0.30      0.4248      0.1333      0.0946       0.450       2.833       2.786              </t>
  </si>
  <si>
    <t xml:space="preserve">        29.4        0.34      0.4724      0.1333      0.0973       0.462       2.912       2.786              </t>
  </si>
  <si>
    <t xml:space="preserve">        33.1        0.39      0.5173      0.1332      0.0998       0.474       2.989       2.783              </t>
  </si>
  <si>
    <t xml:space="preserve">        36.7        0.43      0.5596      0.1329      0.1023       0.486       3.062       2.777              </t>
  </si>
  <si>
    <t xml:space="preserve">        40.4        0.47      0.5997      0.1323      0.1046       0.497       3.130       2.765              </t>
  </si>
  <si>
    <t xml:space="preserve">        44.1        0.52      0.6376      0.1312      0.1064       0.506       3.186       2.743              </t>
  </si>
  <si>
    <t xml:space="preserve">        47.7        0.56      0.6736      0.1290      0.1073       0.510       3.211       2.696              </t>
  </si>
  <si>
    <t xml:space="preserve">        51.4        0.60      0.7072      0.1252      0.1068       0.507       3.197       2.616              </t>
  </si>
  <si>
    <t xml:space="preserve">        55.1        0.65      0.7368      0.1203      0.1055       0.501       3.159       2.514              </t>
  </si>
  <si>
    <t xml:space="preserve">        58.8        0.69      0.7631      0.1144      0.1034       0.491       3.095       2.392              </t>
  </si>
  <si>
    <t xml:space="preserve">        62.4        0.73      0.7869      0.1076      0.1001       0.476       2.998       2.248              </t>
  </si>
  <si>
    <t xml:space="preserve">        66.1        0.78      0.8083      0.0996      0.0955       0.454       2.860       2.081              </t>
  </si>
  <si>
    <t xml:space="preserve">        69.8        0.82      0.8272      0.0914      0.0905       0.430       2.709       1.911              </t>
  </si>
  <si>
    <t xml:space="preserve">        73.4        0.86      0.8440      0.0831      0.0849       0.403       2.540       1.737              </t>
  </si>
  <si>
    <t xml:space="preserve">        77.1        0.90      0.8583      0.0746      0.0786       0.373       2.354       1.559              </t>
  </si>
  <si>
    <t xml:space="preserve">        80.8        0.95      0.8707      0.0659      0.0717       0.341       2.147       1.376              </t>
  </si>
  <si>
    <t xml:space="preserve">        84.5        0.99      0.8797      0.0570      0.0642       0.305       1.921       1.191              </t>
  </si>
  <si>
    <t xml:space="preserve">        88.1        1.03      0.8854      0.0479      0.0560       0.266       1.675       1.001              </t>
  </si>
  <si>
    <t xml:space="preserve">        91.8        1.08      0.8873      0.0387      0.0469       0.223       1.405       0.808              </t>
  </si>
  <si>
    <t xml:space="preserve">        95.5        1.12      0.8796      0.0292      0.0372       0.177       1.114       0.611              </t>
  </si>
  <si>
    <t xml:space="preserve">        99.2        1.16      0.8528      0.0196      0.0268       0.127       0.801       0.410              </t>
  </si>
  <si>
    <t xml:space="preserve">       102.8        1.21      0.7599      0.0099      0.0157       0.074       0.469       0.206              </t>
  </si>
  <si>
    <t xml:space="preserve">       106.5        1.25     -0.0068      0.0000      0.0044       0.021       0.131       0.000              </t>
  </si>
  <si>
    <t xml:space="preserve">         PROP RPM =      11000                                                                                </t>
  </si>
  <si>
    <t xml:space="preserve">         0.0        0.00      0.0000      0.1354      0.1107       0.700       4.009       3.425              </t>
  </si>
  <si>
    <t xml:space="preserve">         4.0        0.04      0.0528      0.1357      0.1107       0.700       4.009       3.432              </t>
  </si>
  <si>
    <t xml:space="preserve">         8.1        0.09      0.1056      0.1359      0.1108       0.701       4.015       3.438              </t>
  </si>
  <si>
    <t xml:space="preserve">        12.1        0.13      0.1584      0.1362      0.1111       0.702       4.024       3.445              </t>
  </si>
  <si>
    <t xml:space="preserve">        16.1        0.17      0.2109      0.1364      0.1114       0.704       4.036       3.450              </t>
  </si>
  <si>
    <t xml:space="preserve">        20.2        0.22      0.2631      0.1366      0.1117       0.706       4.048       3.454              </t>
  </si>
  <si>
    <t xml:space="preserve">        24.2        0.26      0.3148      0.1366      0.1121       0.709       4.062       3.455              </t>
  </si>
  <si>
    <t xml:space="preserve">        28.3        0.30      0.3659      0.1366      0.1125       0.711       4.076       3.454              </t>
  </si>
  <si>
    <t xml:space="preserve">        32.3        0.34      0.4164      0.1364      0.1129       0.714       4.088       3.450              </t>
  </si>
  <si>
    <t xml:space="preserve">        36.3        0.39      0.4662      0.1361      0.1131       0.715       4.099       3.442              </t>
  </si>
  <si>
    <t xml:space="preserve">        40.4        0.43      0.5151      0.1356      0.1133       0.717       4.105       3.429              </t>
  </si>
  <si>
    <t xml:space="preserve">        44.4        0.47      0.5630      0.1348      0.1134       0.717       4.107       3.408              </t>
  </si>
  <si>
    <t xml:space="preserve">        48.4        0.52      0.6098      0.1335      0.1131       0.715       4.097       3.375              </t>
  </si>
  <si>
    <t xml:space="preserve">        52.5        0.56      0.6547      0.1311      0.1121       0.709       4.060       3.315              </t>
  </si>
  <si>
    <t xml:space="preserve">        56.5        0.60      0.6964      0.1270      0.1099       0.695       3.982       3.211              </t>
  </si>
  <si>
    <t xml:space="preserve">        60.6        0.65      0.7315      0.1217      0.1075       0.680       3.894       3.079              </t>
  </si>
  <si>
    <t xml:space="preserve">        64.6        0.69      0.7611      0.1156      0.1046       0.661       3.790       2.923              </t>
  </si>
  <si>
    <t xml:space="preserve">        68.6        0.73      0.7867      0.1085      0.1009       0.638       3.656       2.744              </t>
  </si>
  <si>
    <t xml:space="preserve">        72.7        0.78      0.8089      0.1003      0.0961       0.608       3.482       2.537              </t>
  </si>
  <si>
    <t xml:space="preserve">        76.7        0.82      0.8282      0.0921      0.0910       0.575       3.296       2.330              </t>
  </si>
  <si>
    <t xml:space="preserve">        80.7        0.86      0.8454      0.0837      0.0853       0.539       3.090       2.118              </t>
  </si>
  <si>
    <t xml:space="preserve">        84.8        0.90      0.8602      0.0751      0.0790       0.499       2.862       1.900              </t>
  </si>
  <si>
    <t xml:space="preserve">        88.8        0.95      0.8731      0.0664      0.0720       0.455       2.608       1.678              </t>
  </si>
  <si>
    <t xml:space="preserve">        92.8        0.99      0.8829      0.0574      0.0644       0.407       2.333       1.452              </t>
  </si>
  <si>
    <t xml:space="preserve">        96.9        1.03      0.8892      0.0483      0.0562       0.355       2.034       1.222              </t>
  </si>
  <si>
    <t xml:space="preserve">       100.9        1.08      0.8920      0.0390      0.0471       0.298       1.706       0.987              </t>
  </si>
  <si>
    <t xml:space="preserve">       105.0        1.12      0.8852      0.0295      0.0373       0.236       1.352       0.746              </t>
  </si>
  <si>
    <t xml:space="preserve">       109.0        1.16      0.8597      0.0198      0.0268       0.169       0.970       0.501              </t>
  </si>
  <si>
    <t xml:space="preserve">       113.0        1.21      0.7697      0.0100      0.0156       0.099       0.565       0.252              </t>
  </si>
  <si>
    <t xml:space="preserve">       117.1        1.25     -0.0036      0.0000      0.0043       0.027       0.155       0.000              </t>
  </si>
  <si>
    <t xml:space="preserve">         PROP RPM =      12000                                                                                </t>
  </si>
  <si>
    <t xml:space="preserve">         0.0        0.00      0.0000      0.1387      0.1415       1.161       6.098       4.174              </t>
  </si>
  <si>
    <t xml:space="preserve">         4.4        0.04      0.0428      0.1390      0.1398       1.147       6.027       4.183              </t>
  </si>
  <si>
    <t xml:space="preserve">         8.8        0.09      0.0868      0.1393      0.1382       1.135       5.959       4.191              </t>
  </si>
  <si>
    <t xml:space="preserve">        13.2        0.13      0.1319      0.1395      0.1366       1.121       5.889       4.199              </t>
  </si>
  <si>
    <t xml:space="preserve">        17.6        0.17      0.1783      0.1397      0.1350       1.108       5.820       4.206              </t>
  </si>
  <si>
    <t xml:space="preserve">        22.0        0.22      0.2258      0.1399      0.1333       1.094       5.748       4.209              </t>
  </si>
  <si>
    <t xml:space="preserve">        26.4        0.26      0.2745      0.1399      0.1317       1.081       5.677       4.210              </t>
  </si>
  <si>
    <t xml:space="preserve">        30.8        0.30      0.3241      0.1397      0.1299       1.067       5.602       4.206              </t>
  </si>
  <si>
    <t xml:space="preserve">        35.2        0.34      0.3748      0.1394      0.1282       1.052       5.525       4.197              </t>
  </si>
  <si>
    <t xml:space="preserve">        39.6        0.39      0.4264      0.1390      0.1263       1.037       5.445       4.182              </t>
  </si>
  <si>
    <t xml:space="preserve">        44.0        0.43      0.4787      0.1382      0.1243       1.020       5.360       4.160              </t>
  </si>
  <si>
    <t xml:space="preserve">        48.4        0.47      0.5315      0.1372      0.1222       1.003       5.269       4.128              </t>
  </si>
  <si>
    <t xml:space="preserve">        52.8        0.52      0.5847      0.1356      0.1199       0.984       5.167       4.081              </t>
  </si>
  <si>
    <t xml:space="preserve">        57.3        0.56      0.6367      0.1331      0.1171       0.961       5.046       4.007              </t>
  </si>
  <si>
    <t xml:space="preserve">        61.7        0.60      0.6857      0.1288      0.1132       0.929       4.881       3.876              </t>
  </si>
  <si>
    <t xml:space="preserve">        66.1        0.65      0.7264      0.1232      0.1096       0.899       4.723       3.709              </t>
  </si>
  <si>
    <t xml:space="preserve">        70.5        0.69      0.7593      0.1168      0.1059       0.870       4.567       3.514              </t>
  </si>
  <si>
    <t xml:space="preserve">        74.9        0.73      0.7866      0.1094      0.1018       0.835       4.388       3.292              </t>
  </si>
  <si>
    <t xml:space="preserve">        79.3        0.78      0.8096      0.1010      0.0967       0.794       4.170       3.041              </t>
  </si>
  <si>
    <t xml:space="preserve">        83.7        0.82      0.8292      0.0928      0.0915       0.751       3.946       2.792              </t>
  </si>
  <si>
    <t xml:space="preserve">        88.1        0.86      0.8467      0.0843      0.0858       0.704       3.697       2.537              </t>
  </si>
  <si>
    <t xml:space="preserve">        92.5        0.90      0.8620      0.0757      0.0794       0.651       3.422       2.277              </t>
  </si>
  <si>
    <t xml:space="preserve">        96.9        0.95      0.8754      0.0668      0.0723       0.593       3.117       2.011              </t>
  </si>
  <si>
    <t xml:space="preserve">       101.3        0.99      0.8858      0.0578      0.0646       0.530       2.786       1.740              </t>
  </si>
  <si>
    <t xml:space="preserve">       105.7        1.03      0.8928      0.0486      0.0563       0.462       2.425       1.463              </t>
  </si>
  <si>
    <t xml:space="preserve">       110.1        1.08      0.8962      0.0392      0.0471       0.387       2.031       1.180              </t>
  </si>
  <si>
    <t xml:space="preserve">       114.5        1.12      0.8901      0.0296      0.0373       0.306       1.606       0.891              </t>
  </si>
  <si>
    <t xml:space="preserve">       118.9        1.16      0.8657      0.0199      0.0267       0.219       1.151       0.598              </t>
  </si>
  <si>
    <t xml:space="preserve">       123.3        1.21      0.7776      0.0100      0.0155       0.127       0.668       0.301              </t>
  </si>
  <si>
    <t xml:space="preserve">       127.7        1.25     -0.0053      0.0000      0.0042       0.034       0.180      -0.001              </t>
  </si>
  <si>
    <t xml:space="preserve">         PROP RPM =      13000                                                                                </t>
  </si>
  <si>
    <t xml:space="preserve">         0.0        0.00      0.0000      0.1418      0.1712       1.786       8.660       5.008              </t>
  </si>
  <si>
    <t xml:space="preserve">         4.8        0.04      0.0364      0.1421      0.1679       1.752       8.493       5.019              </t>
  </si>
  <si>
    <t xml:space="preserve">         9.5        0.09      0.0745      0.1424      0.1646       1.718       8.329       5.031              </t>
  </si>
  <si>
    <t xml:space="preserve">        14.3        0.13      0.1143      0.1427      0.1613       1.683       8.159       5.040              </t>
  </si>
  <si>
    <t xml:space="preserve">        19.1        0.17      0.1559      0.1429      0.1579       1.647       7.987       5.048              </t>
  </si>
  <si>
    <t xml:space="preserve">        23.8        0.22      0.1995      0.1430      0.1543       1.611       7.808       5.051              </t>
  </si>
  <si>
    <t xml:space="preserve">        28.6        0.26      0.2450      0.1430      0.1507       1.573       7.625       5.050              </t>
  </si>
  <si>
    <t xml:space="preserve">        33.4        0.30      0.2927      0.1427      0.1470       1.534       7.436       5.042              </t>
  </si>
  <si>
    <t xml:space="preserve">        38.2        0.34      0.3424      0.1423      0.1432       1.494       7.244       5.027              </t>
  </si>
  <si>
    <t xml:space="preserve">        42.9        0.39      0.3942      0.1417      0.1393       1.453       7.046       5.004              </t>
  </si>
  <si>
    <t xml:space="preserve">        47.7        0.43      0.4479      0.1408      0.1353       1.412       6.845       4.972              </t>
  </si>
  <si>
    <t xml:space="preserve">        52.5        0.47      0.5036      0.1395      0.1312       1.369       6.636       4.927              </t>
  </si>
  <si>
    <t xml:space="preserve">        57.2        0.52      0.5610      0.1378      0.1269       1.324       6.418       4.866              </t>
  </si>
  <si>
    <t xml:space="preserve">        62.0        0.56      0.6191      0.1351      0.1222       1.275       6.181       4.773              </t>
  </si>
  <si>
    <t xml:space="preserve">        66.8        0.60      0.6743      0.1306      0.1168       1.218       5.907       4.614              </t>
  </si>
  <si>
    <t xml:space="preserve">        71.5        0.65      0.7210      0.1248      0.1117       1.166       5.653       4.407              </t>
  </si>
  <si>
    <t xml:space="preserve">        76.3        0.69      0.7570      0.1180      0.1074       1.121       5.434       4.169              </t>
  </si>
  <si>
    <t xml:space="preserve">        81.1        0.73      0.7861      0.1104      0.1028       1.073       5.201       3.900              </t>
  </si>
  <si>
    <t xml:space="preserve">        85.9        0.77      0.8099      0.1019      0.0975       1.018       4.934       3.600              </t>
  </si>
  <si>
    <t xml:space="preserve">        90.6        0.82      0.8298      0.0935      0.0922       0.962       4.666       3.304              </t>
  </si>
  <si>
    <t xml:space="preserve">        95.4        0.86      0.8477      0.0850      0.0864       0.901       4.369       3.003              </t>
  </si>
  <si>
    <t xml:space="preserve">       100.2        0.90      0.8635      0.0763      0.0799       0.834       4.042       2.695              </t>
  </si>
  <si>
    <t xml:space="preserve">       104.9        0.95      0.8773      0.0674      0.0727       0.759       3.679       2.379              </t>
  </si>
  <si>
    <t xml:space="preserve">       109.7        0.99      0.8884      0.0583      0.0650       0.678       3.286       2.059              </t>
  </si>
  <si>
    <t xml:space="preserve">       114.5        1.03      0.8961      0.0490      0.0565       0.590       2.858       1.730              </t>
  </si>
  <si>
    <t xml:space="preserve">       119.2        1.08      0.9002      0.0395      0.0473       0.493       2.391       1.396              </t>
  </si>
  <si>
    <t xml:space="preserve">       124.0        1.12      0.8949      0.0298      0.0373       0.389       1.888       1.054              </t>
  </si>
  <si>
    <t xml:space="preserve">       128.8        1.16      0.8716      0.0200      0.0267       0.279       1.352       0.708              </t>
  </si>
  <si>
    <t xml:space="preserve">       133.6        1.21      0.7860      0.0101      0.0155       0.161       0.782       0.356              </t>
  </si>
  <si>
    <t xml:space="preserve">       138.3        1.25     -0.0058      0.0000      0.0041       0.043       0.207      -0.001              </t>
  </si>
  <si>
    <t xml:space="preserve">         PROP RPM =      13999                                                                                </t>
  </si>
  <si>
    <t xml:space="preserve">         0.0        0.00      0.0000      0.1448      0.2012       2.623      11.807       5.932              </t>
  </si>
  <si>
    <t xml:space="preserve">         5.1        0.04      0.0318      0.1452      0.1963       2.559      11.520       5.947              </t>
  </si>
  <si>
    <t xml:space="preserve">        10.3        0.09      0.0654      0.1455      0.1915       2.496      11.236       5.962              </t>
  </si>
  <si>
    <t xml:space="preserve">        15.4        0.13      0.1010      0.1458      0.1864       2.430      10.938       5.973              </t>
  </si>
  <si>
    <t xml:space="preserve">        20.5        0.17      0.1387      0.1460      0.1812       2.362      10.632       5.981              </t>
  </si>
  <si>
    <t xml:space="preserve">        25.7        0.22      0.1788      0.1461      0.1759       2.292      10.319       5.985              </t>
  </si>
  <si>
    <t xml:space="preserve">        30.8        0.26      0.2214      0.1460      0.1703       2.220       9.995       5.982              </t>
  </si>
  <si>
    <t xml:space="preserve">        36.0        0.30      0.2667      0.1457      0.1646       2.146       9.661       5.970              </t>
  </si>
  <si>
    <t xml:space="preserve">        41.1        0.34      0.3148      0.1452      0.1589       2.071       9.321       5.949              </t>
  </si>
  <si>
    <t xml:space="preserve">        46.2        0.39      0.3658      0.1445      0.1530       1.995       8.980       5.919              </t>
  </si>
  <si>
    <t xml:space="preserve">        51.4        0.43      0.4199      0.1434      0.1470       1.916       8.625       5.874              </t>
  </si>
  <si>
    <t xml:space="preserve">        56.5        0.47      0.4773      0.1420      0.1408       1.836       8.263       5.815              </t>
  </si>
  <si>
    <t xml:space="preserve">        61.6        0.52      0.5373      0.1401      0.1347       1.755       7.903       5.739              </t>
  </si>
  <si>
    <t xml:space="preserve">        66.8        0.56      0.6003      0.1374      0.1281       1.670       7.516       5.629              </t>
  </si>
  <si>
    <t xml:space="preserve">        71.9        0.60      0.6616      0.1327      0.1209       1.576       7.094       5.437              </t>
  </si>
  <si>
    <t xml:space="preserve">        77.0        0.65      0.7149      0.1265      0.1143       1.490       6.706       5.183              </t>
  </si>
  <si>
    <t xml:space="preserve">        82.2        0.69      0.7544      0.1195      0.1091       1.422       6.401       4.895              </t>
  </si>
  <si>
    <t xml:space="preserve">        87.3        0.73      0.7853      0.1116      0.1040       1.356       6.103       4.572              </t>
  </si>
  <si>
    <t xml:space="preserve">        92.4        0.77      0.8099      0.1029      0.0984       1.283       5.775       4.215              </t>
  </si>
  <si>
    <t xml:space="preserve">        97.6        0.82      0.8302      0.0944      0.0930       1.212       5.458       3.868              </t>
  </si>
  <si>
    <t xml:space="preserve">       102.7        0.86      0.8485      0.0858      0.0871       1.135       5.108       3.515              </t>
  </si>
  <si>
    <t xml:space="preserve">       107.9        0.90      0.8647      0.0770      0.0805       1.049       4.723       3.154              </t>
  </si>
  <si>
    <t xml:space="preserve">       113.0        0.95      0.8790      0.0680      0.0733       0.955       4.299       2.786              </t>
  </si>
  <si>
    <t xml:space="preserve">       118.1        0.99      0.8907      0.0588      0.0654       0.852       3.837       2.410              </t>
  </si>
  <si>
    <t xml:space="preserve">       123.3        1.03      0.8990      0.0494      0.0568       0.741       3.334       2.026              </t>
  </si>
  <si>
    <t xml:space="preserve">       128.4        1.08      0.9039      0.0399      0.0475       0.619       2.787       1.634              </t>
  </si>
  <si>
    <t xml:space="preserve">       133.5        1.12      0.8995      0.0301      0.0375       0.489       2.199       1.234              </t>
  </si>
  <si>
    <t xml:space="preserve">       138.7        1.16      0.8772      0.0202      0.0268       0.349       1.572       0.828              </t>
  </si>
  <si>
    <t xml:space="preserve">       143.8        1.21      0.7940      0.0102      0.0154       0.201       0.906       0.417              </t>
  </si>
  <si>
    <t xml:space="preserve">       148.9        1.25     -0.0064      0.0000      0.0040       0.053       0.237      -0.001              </t>
  </si>
  <si>
    <t xml:space="preserve">         PROP RPM =      15000                                                                                </t>
  </si>
  <si>
    <t xml:space="preserve">         0.0        0.00      0.0000      0.1478      0.2313       3.708      15.581       6.950              </t>
  </si>
  <si>
    <t xml:space="preserve">         5.5        0.04      0.0283      0.1483      0.2251       3.609      15.163       6.972              </t>
  </si>
  <si>
    <t xml:space="preserve">        11.0        0.09      0.0585      0.1486      0.2186       3.505      14.725       6.989              </t>
  </si>
  <si>
    <t xml:space="preserve">        16.5        0.13      0.0908      0.1489      0.2119       3.397      14.273       7.003              </t>
  </si>
  <si>
    <t xml:space="preserve">        22.0        0.17      0.1252      0.1492      0.2051       3.287      13.813       7.014              </t>
  </si>
  <si>
    <t xml:space="preserve">        27.5        0.22      0.1623      0.1492      0.1979       3.173      13.334       7.018              </t>
  </si>
  <si>
    <t xml:space="preserve">        33.0        0.26      0.2021      0.1491      0.1906       3.056      12.839       7.013              </t>
  </si>
  <si>
    <t xml:space="preserve">        38.5        0.30      0.2451      0.1488      0.1829       2.932      12.319       6.996              </t>
  </si>
  <si>
    <t xml:space="preserve">        44.0        0.34      0.2913      0.1482      0.1752       2.808      11.800       6.969              </t>
  </si>
  <si>
    <t xml:space="preserve">        49.5        0.39      0.3410      0.1473      0.1673       2.682      11.270       6.926              </t>
  </si>
  <si>
    <t xml:space="preserve">        55.0        0.43      0.3947      0.1461      0.1593       2.554      10.730       6.869              </t>
  </si>
  <si>
    <t xml:space="preserve">        60.5        0.47      0.4526      0.1444      0.1511       2.422      10.177       6.792              </t>
  </si>
  <si>
    <t xml:space="preserve">        66.0        0.52      0.5148      0.1423      0.1428       2.289       9.616       6.691              </t>
  </si>
  <si>
    <t xml:space="preserve">        71.5        0.56      0.5810      0.1395      0.1343       2.153       9.048       6.559              </t>
  </si>
  <si>
    <t xml:space="preserve">        77.0        0.60      0.6477      0.1349      0.1255       2.012       8.453       6.344              </t>
  </si>
  <si>
    <t xml:space="preserve">        82.5        0.65      0.7084      0.1284      0.1170       1.876       7.883       6.038              </t>
  </si>
  <si>
    <t xml:space="preserve">        88.0        0.69      0.7515      0.1211      0.1109       1.778       7.472       5.693              </t>
  </si>
  <si>
    <t xml:space="preserve">        93.5        0.73      0.7843      0.1129      0.1054       1.689       7.098       5.311              </t>
  </si>
  <si>
    <t xml:space="preserve">        99.0        0.77      0.8097      0.1040      0.0995       1.595       6.703       4.891              </t>
  </si>
  <si>
    <t xml:space="preserve">       104.5        0.82      0.8304      0.0954      0.0940       1.506       6.329       4.486              </t>
  </si>
  <si>
    <t xml:space="preserve">       110.0        0.86      0.8490      0.0867      0.0879       1.409       5.921       4.077              </t>
  </si>
  <si>
    <t xml:space="preserve">       115.6        0.90      0.8657      0.0778      0.0812       1.302       5.472       3.659              </t>
  </si>
  <si>
    <t xml:space="preserve">       121.1        0.95      0.8805      0.0687      0.0739       1.185       4.977       3.231              </t>
  </si>
  <si>
    <t xml:space="preserve">       126.6        0.99      0.8928      0.0594      0.0658       1.055       4.435       2.792              </t>
  </si>
  <si>
    <t xml:space="preserve">       132.1        1.03      0.9018      0.0499      0.0572       0.917       3.851       2.347              </t>
  </si>
  <si>
    <t xml:space="preserve">       137.6        1.08      0.9073      0.0402      0.0477       0.765       3.212       1.891              </t>
  </si>
  <si>
    <t xml:space="preserve">       143.1        1.12      0.9037      0.0304      0.0376       0.603       2.533       1.428              </t>
  </si>
  <si>
    <t xml:space="preserve">       148.6        1.16      0.8826      0.0204      0.0269       0.431       1.811       0.960              </t>
  </si>
  <si>
    <t xml:space="preserve">       154.1        1.21      0.8015      0.0103      0.0155       0.248       1.043       0.484              </t>
  </si>
  <si>
    <t xml:space="preserve">       159.6        1.25     -0.0066      0.0000      0.0040       0.064       0.270      -0.001              </t>
  </si>
  <si>
    <t xml:space="preserve">         PROP RPM =      16000                                                                                </t>
  </si>
  <si>
    <t xml:space="preserve">         0.0        0.00      0.0000      0.1508      0.2623       5.103      20.102       8.070              </t>
  </si>
  <si>
    <t xml:space="preserve">         5.9        0.04      0.0255      0.1514      0.2548       4.958      19.532       8.098              </t>
  </si>
  <si>
    <t xml:space="preserve">        11.7        0.09      0.0530      0.1517      0.2464       4.794      18.885       8.118              </t>
  </si>
  <si>
    <t xml:space="preserve">        17.6        0.13      0.0824      0.1520      0.2381       4.632      18.247       8.135              </t>
  </si>
  <si>
    <t xml:space="preserve">        23.5        0.17      0.1141      0.1523      0.2296       4.468      17.598       8.147              </t>
  </si>
  <si>
    <t xml:space="preserve">        29.3        0.22      0.1485      0.1523      0.2206       4.292      16.908       8.149              </t>
  </si>
  <si>
    <t xml:space="preserve">        35.2        0.26      0.1856      0.1522      0.2116       4.117      16.219       8.144              </t>
  </si>
  <si>
    <t xml:space="preserve">        41.1        0.30      0.2262      0.1518      0.2021       3.932      15.490       8.123              </t>
  </si>
  <si>
    <t xml:space="preserve">        46.9        0.34      0.2704      0.1511      0.1924       3.743      14.742       8.086              </t>
  </si>
  <si>
    <t xml:space="preserve">        52.8        0.39      0.3186      0.1501      0.1823       3.547      13.972       8.029              </t>
  </si>
  <si>
    <t xml:space="preserve">        58.7        0.43      0.3712      0.1487      0.1723       3.352      13.203       7.955              </t>
  </si>
  <si>
    <t xml:space="preserve">        64.5        0.47      0.4287      0.1469      0.1621       3.154      12.423       7.858              </t>
  </si>
  <si>
    <t xml:space="preserve">        70.4        0.52      0.4915      0.1446      0.1518       2.954      11.637       7.736              </t>
  </si>
  <si>
    <t xml:space="preserve">        76.2        0.56      0.5598      0.1417      0.1415       2.753      10.844       7.580              </t>
  </si>
  <si>
    <t xml:space="preserve">        82.1        0.60      0.6315      0.1374      0.1310       2.548      10.038       7.349              </t>
  </si>
  <si>
    <t xml:space="preserve">        88.0        0.65      0.7000      0.1305      0.1203       2.340       9.217       6.982              </t>
  </si>
  <si>
    <t xml:space="preserve">        93.8        0.69      0.7477      0.1229      0.1131       2.201       8.669       6.575              </t>
  </si>
  <si>
    <t xml:space="preserve">        99.7        0.73      0.7825      0.1145      0.1070       2.082       8.201       6.127              </t>
  </si>
  <si>
    <t xml:space="preserve">       105.6        0.77      0.8089      0.1054      0.1009       1.962       7.730       5.638              </t>
  </si>
  <si>
    <t xml:space="preserve">       111.4        0.82      0.8300      0.0967      0.0952       1.852       7.294       5.172              </t>
  </si>
  <si>
    <t xml:space="preserve">       117.3        0.86      0.8490      0.0878      0.0890       1.732       6.821       4.700              </t>
  </si>
  <si>
    <t xml:space="preserve">       123.2        0.90      0.8662      0.0788      0.0822       1.600       6.301       4.219              </t>
  </si>
  <si>
    <t xml:space="preserve">       129.0        0.95      0.8815      0.0696      0.0748       1.454       5.729       3.726              </t>
  </si>
  <si>
    <t xml:space="preserve">       134.9        0.99      0.8945      0.0602      0.0666       1.296       5.106       3.223              </t>
  </si>
  <si>
    <t xml:space="preserve">       140.8        1.03      0.9041      0.0506      0.0578       1.125       4.431       2.710              </t>
  </si>
  <si>
    <t xml:space="preserve">       146.6        1.08      0.9104      0.0408      0.0482       0.938       3.696       2.184              </t>
  </si>
  <si>
    <t xml:space="preserve">       152.5        1.12      0.9080      0.0309      0.0380       0.740       2.914       1.652              </t>
  </si>
  <si>
    <t xml:space="preserve">       158.4        1.16      0.8884      0.0208      0.0272       0.530       2.087       1.114              </t>
  </si>
  <si>
    <t xml:space="preserve">       164.2        1.20      0.8102      0.0105      0.0156       0.304       1.198       0.563              </t>
  </si>
  <si>
    <t xml:space="preserve">       170.1        1.25     -0.0043      0.0000      0.0040       0.077       0.304      -0.001              </t>
  </si>
  <si>
    <t xml:space="preserve">         PROP RPM =      17000                                                                                </t>
  </si>
  <si>
    <t xml:space="preserve">         0.0        0.00      0.0000      0.1539      0.2946       6.875      25.489       9.294              </t>
  </si>
  <si>
    <t xml:space="preserve">         6.2        0.04      0.0233      0.1544      0.2853       6.658      24.685       9.327              </t>
  </si>
  <si>
    <t xml:space="preserve">        12.5        0.09      0.0483      0.1549      0.2756       6.433      23.849       9.353              </t>
  </si>
  <si>
    <t xml:space="preserve">        18.7        0.13      0.0753      0.1552      0.2657       6.200      22.986       9.374              </t>
  </si>
  <si>
    <t xml:space="preserve">        24.9        0.17      0.1046      0.1554      0.2554       5.960      22.095       9.386              </t>
  </si>
  <si>
    <t xml:space="preserve">        31.1        0.21      0.1365      0.1554      0.2448       5.713      21.179       9.388              </t>
  </si>
  <si>
    <t xml:space="preserve">        37.4        0.26      0.1713      0.1553      0.2338       5.456      20.227       9.378              </t>
  </si>
  <si>
    <t xml:space="preserve">        43.6        0.30      0.2095      0.1549      0.2225       5.192      19.247       9.353              </t>
  </si>
  <si>
    <t xml:space="preserve">        49.8        0.34      0.2515      0.1541      0.2108       4.919      18.238       9.309              </t>
  </si>
  <si>
    <t xml:space="preserve">        56.1        0.39      0.2977      0.1530      0.1988       4.640      17.203       9.241              </t>
  </si>
  <si>
    <t xml:space="preserve">        62.3        0.43      0.3489      0.1515      0.1867       4.356      16.151       9.149              </t>
  </si>
  <si>
    <t xml:space="preserve">        68.5        0.47      0.4052      0.1495      0.1745       4.072      15.097       9.031              </t>
  </si>
  <si>
    <t xml:space="preserve">        74.8        0.52      0.4678      0.1470      0.1622       3.784      14.030       8.882              </t>
  </si>
  <si>
    <t xml:space="preserve">        81.0        0.56      0.5372      0.1440      0.1498       3.496      12.959       8.696              </t>
  </si>
  <si>
    <t xml:space="preserve">        87.2        0.60      0.6131      0.1399      0.1373       3.205      11.883       8.451              </t>
  </si>
  <si>
    <t xml:space="preserve">        93.4        0.64      0.6872      0.1329      0.1247       2.911      10.793       8.030              </t>
  </si>
  <si>
    <t xml:space="preserve">        99.7        0.69      0.7433      0.1249      0.1156       2.697       9.998       7.543              </t>
  </si>
  <si>
    <t xml:space="preserve">       105.9        0.73      0.7805      0.1162      0.1089       2.540       9.418       7.022              </t>
  </si>
  <si>
    <t xml:space="preserve">       112.1        0.77      0.8080      0.1069      0.1024       2.390       8.860       6.458              </t>
  </si>
  <si>
    <t xml:space="preserve">       118.4        0.82      0.8294      0.0980      0.0966       2.253       8.354       5.922              </t>
  </si>
  <si>
    <t xml:space="preserve">       124.6        0.86      0.8488      0.0891      0.0903       2.107       7.811       5.383              </t>
  </si>
  <si>
    <t xml:space="preserve">       130.8        0.90      0.8664      0.0800      0.0834       1.946       7.214       4.833              </t>
  </si>
  <si>
    <t xml:space="preserve">       137.0        0.95      0.8822      0.0707      0.0758       1.769       6.558       4.270              </t>
  </si>
  <si>
    <t xml:space="preserve">       143.3        0.99      0.8959      0.0612      0.0675       1.576       5.842       3.695              </t>
  </si>
  <si>
    <t xml:space="preserve">       149.5        1.03      0.9063      0.0515      0.0586       1.367       5.068       3.108              </t>
  </si>
  <si>
    <t xml:space="preserve">       155.7        1.07      0.9133      0.0415      0.0489       1.140       4.227       2.508              </t>
  </si>
  <si>
    <t xml:space="preserve">       162.0        1.12      0.9121      0.0314      0.0385       0.897       3.327       1.895              </t>
  </si>
  <si>
    <t xml:space="preserve">       168.2        1.16      0.8936      0.0212      0.0275       0.643       2.382       1.280              </t>
  </si>
  <si>
    <t xml:space="preserve">       174.4        1.20      0.8176      0.0107      0.0158       0.368       1.365       0.647              </t>
  </si>
  <si>
    <t xml:space="preserve">       180.6        1.25     -0.0096      0.0000      0.0039       0.092       0.341      -0.002              </t>
  </si>
  <si>
    <t xml:space="preserve">         PROP RPM =      18000                                                                                </t>
  </si>
  <si>
    <t xml:space="preserve">         0.0        0.00      0.0000      0.1570      0.3290       9.114      31.911      10.632              </t>
  </si>
  <si>
    <t xml:space="preserve">         6.6        0.04      0.0213      0.1576      0.3182       8.814      30.862      10.672              </t>
  </si>
  <si>
    <t xml:space="preserve">        13.2        0.09      0.0443      0.1581      0.3069       8.503      29.771      10.705              </t>
  </si>
  <si>
    <t xml:space="preserve">        19.8        0.13      0.0692      0.1584      0.2953       8.181      28.643      10.729              </t>
  </si>
  <si>
    <t xml:space="preserve">        26.4        0.17      0.0962      0.1586      0.2834       7.850      27.487      10.743              </t>
  </si>
  <si>
    <t xml:space="preserve">        33.0        0.21      0.1258      0.1587      0.2711       7.509      26.293      10.745              </t>
  </si>
  <si>
    <t xml:space="preserve">        39.5        0.26      0.1583      0.1585      0.2581       7.150      25.033      10.731              </t>
  </si>
  <si>
    <t xml:space="preserve">        46.1        0.30      0.1943      0.1580      0.2445       6.773      23.715      10.697              </t>
  </si>
  <si>
    <t xml:space="preserve">        52.7        0.34      0.2339      0.1572      0.2310       6.401      22.411      10.647              </t>
  </si>
  <si>
    <t xml:space="preserve">        59.3        0.39      0.2782      0.1560      0.2169       6.007      21.034      10.566              </t>
  </si>
  <si>
    <t xml:space="preserve">        65.9        0.43      0.3274      0.1544      0.2026       5.613      19.652      10.454              </t>
  </si>
  <si>
    <t xml:space="preserve">        72.5        0.47      0.3823      0.1523      0.1883       5.215      18.261      10.313              </t>
  </si>
  <si>
    <t xml:space="preserve">        79.1        0.52      0.4441      0.1497      0.1738       4.814      16.855      10.135              </t>
  </si>
  <si>
    <t xml:space="preserve">        85.7        0.56      0.5132      0.1465      0.1594       4.415      15.460       9.918              </t>
  </si>
  <si>
    <t xml:space="preserve">        92.3        0.60      0.5914      0.1424      0.1449       4.013      14.052       9.645              </t>
  </si>
  <si>
    <t xml:space="preserve">        98.9        0.64      0.6711      0.1358      0.1304       3.612      12.647       9.194              </t>
  </si>
  <si>
    <t xml:space="preserve">       105.5        0.69      0.7377      0.1273      0.1186       3.286      11.505       8.619              </t>
  </si>
  <si>
    <t xml:space="preserve">       112.1        0.73      0.7778      0.1184      0.1112       3.079      10.782       8.015              </t>
  </si>
  <si>
    <t xml:space="preserve">       118.6        0.77      0.8064      0.1088      0.1043       2.890      10.119       7.366              </t>
  </si>
  <si>
    <t xml:space="preserve">       125.2        0.82      0.8284      0.0997      0.0982       2.722       9.529       6.751              </t>
  </si>
  <si>
    <t xml:space="preserve">       131.8        0.86      0.8481      0.0907      0.0919       2.545       8.910       6.139              </t>
  </si>
  <si>
    <t xml:space="preserve">       138.4        0.90      0.8661      0.0814      0.0848       2.351       8.230       5.515              </t>
  </si>
  <si>
    <t xml:space="preserve">       145.0        0.95      0.8823      0.0720      0.0771       2.136       7.479       4.874              </t>
  </si>
  <si>
    <t xml:space="preserve">       151.6        0.99      0.8964      0.0623      0.0687       1.903       6.662       4.219              </t>
  </si>
  <si>
    <t xml:space="preserve">       158.2        1.03      0.9073      0.0525      0.0596       1.651       5.782       3.552              </t>
  </si>
  <si>
    <t xml:space="preserve">       164.8        1.07      0.9147      0.0425      0.0498       1.381       4.835       2.875              </t>
  </si>
  <si>
    <t xml:space="preserve">       171.4        1.12      0.9145      0.0322      0.0393       1.089       3.812       2.179              </t>
  </si>
  <si>
    <t xml:space="preserve">       178.0        1.16      0.8971      0.0217      0.0281       0.779       2.726       1.472              </t>
  </si>
  <si>
    <t xml:space="preserve">       184.6        1.20      0.8225      0.0110      0.0161       0.446       1.562       0.745              </t>
  </si>
  <si>
    <t xml:space="preserve">       191.1        1.25     -0.0090      0.0000      0.0040       0.111       0.387      -0.002              </t>
  </si>
  <si>
    <t xml:space="preserve">         PROP RPM =      19000                                                                                </t>
  </si>
  <si>
    <t xml:space="preserve">         0.0        0.00      0.0000      0.1603      0.3667      11.947      39.629      12.096              </t>
  </si>
  <si>
    <t xml:space="preserve">         6.9        0.04      0.0195      0.1610      0.3542      11.541      38.283      12.145              </t>
  </si>
  <si>
    <t xml:space="preserve">        13.9        0.09      0.0406      0.1615      0.3412      11.116      36.874      12.182              </t>
  </si>
  <si>
    <t xml:space="preserve">        20.8        0.13      0.0635      0.1619      0.3282      10.692      35.466      12.216              </t>
  </si>
  <si>
    <t xml:space="preserve">        27.8        0.17      0.0885      0.1621      0.3145      10.246      33.987      12.230              </t>
  </si>
  <si>
    <t xml:space="preserve">        34.7        0.21      0.1159      0.1621      0.3002       9.781      32.446      12.231              </t>
  </si>
  <si>
    <t xml:space="preserve">        41.7        0.26      0.1459      0.1619      0.2857       9.310      30.882      12.215              </t>
  </si>
  <si>
    <t xml:space="preserve">        48.6        0.30      0.1792      0.1614      0.2706       8.817      29.247      12.176              </t>
  </si>
  <si>
    <t xml:space="preserve">        55.6        0.34      0.2161      0.1606      0.2552       8.315      27.580      12.116              </t>
  </si>
  <si>
    <t xml:space="preserve">        62.5        0.39      0.2589      0.1591      0.2374       7.735      25.657      12.004              </t>
  </si>
  <si>
    <t xml:space="preserve">        69.5        0.43      0.3069      0.1572      0.2198       7.161      23.755      11.861              </t>
  </si>
  <si>
    <t xml:space="preserve">        76.4        0.47      0.3618      0.1548      0.2020       6.580      21.827      11.676              </t>
  </si>
  <si>
    <t xml:space="preserve">        83.4        0.52      0.4235      0.1518      0.1846       6.016      19.956      11.456              </t>
  </si>
  <si>
    <t xml:space="preserve">        90.3        0.56      0.4934      0.1484      0.1678       5.468      18.138      11.198              </t>
  </si>
  <si>
    <t xml:space="preserve">        97.3        0.60      0.5720      0.1444      0.1517       4.941      16.390      10.894              </t>
  </si>
  <si>
    <t xml:space="preserve">       104.2        0.64      0.6557      0.1386      0.1361       4.434      14.707      10.458              </t>
  </si>
  <si>
    <t xml:space="preserve">       111.2        0.69      0.7330      0.1297      0.1215       3.958      13.129       9.784              </t>
  </si>
  <si>
    <t xml:space="preserve">       118.1        0.73      0.7746      0.1207      0.1137       3.703      12.285       9.105              </t>
  </si>
  <si>
    <t xml:space="preserve">       125.1        0.77      0.8037      0.1110      0.1067       3.477      11.532       8.376              </t>
  </si>
  <si>
    <t xml:space="preserve">       132.0        0.82      0.8262      0.1018      0.1004       3.272      10.855       7.678              </t>
  </si>
  <si>
    <t xml:space="preserve">       139.0        0.86      0.8463      0.0926      0.0939       3.059      10.148       6.984              </t>
  </si>
  <si>
    <t xml:space="preserve">       145.9        0.90      0.8645      0.0832      0.0867       2.826       9.374       6.277              </t>
  </si>
  <si>
    <t xml:space="preserve">       152.9        0.94      0.8811      0.0736      0.0789       2.570       8.524       5.553              </t>
  </si>
  <si>
    <t xml:space="preserve">       159.8        0.99      0.8957      0.0638      0.0703       2.291       7.599       4.814              </t>
  </si>
  <si>
    <t xml:space="preserve">       166.8        1.03      0.9072      0.0538      0.0611       1.990       6.600       4.058              </t>
  </si>
  <si>
    <t xml:space="preserve">       173.7        1.07      0.9151      0.0435      0.0510       1.663       5.516       3.284              </t>
  </si>
  <si>
    <t xml:space="preserve">       180.7        1.12      0.9160      0.0331      0.0403       1.314       4.359       2.498              </t>
  </si>
  <si>
    <t xml:space="preserve">       187.6        1.16      0.9005      0.0225      0.0289       0.941       3.122       1.694              </t>
  </si>
  <si>
    <t xml:space="preserve">       194.6        1.20      0.8257      0.0114      0.0166       0.540       1.790       0.859              </t>
  </si>
  <si>
    <t xml:space="preserve">       201.5        1.24     -0.0096      0.0000      0.0042       0.136       0.450      -0.002              </t>
  </si>
  <si>
    <t xml:space="preserve">         PROP RPM =      20000                                                                                </t>
  </si>
  <si>
    <t xml:space="preserve">         0.0        0.00      0.0000      0.1593      0.3652      13.877      43.729      13.316              </t>
  </si>
  <si>
    <t xml:space="preserve">         7.3        0.04      0.0194      0.1599      0.3530      13.416      42.277      13.367              </t>
  </si>
  <si>
    <t xml:space="preserve">        14.6        0.09      0.0404      0.1604      0.3403      12.932      40.751      13.408              </t>
  </si>
  <si>
    <t xml:space="preserve">        21.9        0.13      0.0632      0.1607      0.3269      12.423      39.147      13.434              </t>
  </si>
  <si>
    <t xml:space="preserve">        29.2        0.17      0.0881      0.1608      0.3129      11.889      37.464      13.443              </t>
  </si>
  <si>
    <t xml:space="preserve">        36.5        0.21      0.1156      0.1606      0.2976      11.309      35.638      13.428              </t>
  </si>
  <si>
    <t xml:space="preserve">        43.8        0.26      0.1457      0.1603      0.2826      10.739      33.843      13.397              </t>
  </si>
  <si>
    <t xml:space="preserve">        51.1        0.30      0.1791      0.1596      0.2673      10.156      32.003      13.344              </t>
  </si>
  <si>
    <t xml:space="preserve">        58.4        0.34      0.2160      0.1587      0.2517       9.566      30.144      13.268              </t>
  </si>
  <si>
    <t xml:space="preserve">        65.7        0.39      0.2573      0.1575      0.2359       8.966      28.254      13.168              </t>
  </si>
  <si>
    <t xml:space="preserve">        73.0        0.43      0.3037      0.1559      0.2199       8.357      26.335      13.037              </t>
  </si>
  <si>
    <t xml:space="preserve">        80.3        0.47      0.3562      0.1540      0.2038       7.743      24.399      12.877              </t>
  </si>
  <si>
    <t xml:space="preserve">        87.6        0.51      0.4156      0.1517      0.1876       7.128      22.461      12.680              </t>
  </si>
  <si>
    <t xml:space="preserve">        94.9        0.56      0.4818      0.1488      0.1720       6.535      20.594      12.442              </t>
  </si>
  <si>
    <t xml:space="preserve">       102.2        0.60      0.5570      0.1455      0.1566       5.951      18.752      12.161              </t>
  </si>
  <si>
    <t xml:space="preserve">       109.5        0.64      0.6407      0.1414      0.1418       5.387      16.977      11.820              </t>
  </si>
  <si>
    <t xml:space="preserve">       116.8        0.69      0.7184      0.1332      0.1271       4.829      15.219      11.138              </t>
  </si>
  <si>
    <t xml:space="preserve">       124.1        0.73      0.7695      0.1240      0.1174       4.460      14.055      10.370              </t>
  </si>
  <si>
    <t xml:space="preserve">       131.4        0.77      0.7992      0.1142      0.1102       4.188      13.196       9.551              </t>
  </si>
  <si>
    <t xml:space="preserve">       138.7        0.81      0.8229      0.1045      0.1033       3.927      12.374       8.736              </t>
  </si>
  <si>
    <t xml:space="preserve">       146.0        0.86      0.8435      0.0951      0.0966       3.672      11.570       7.953              </t>
  </si>
  <si>
    <t xml:space="preserve">       153.3        0.90      0.8622      0.0856      0.0893       3.393      10.692       7.155              </t>
  </si>
  <si>
    <t xml:space="preserve">       160.6        0.94      0.8792      0.0758      0.0812       3.087       9.727       6.336              </t>
  </si>
  <si>
    <t xml:space="preserve">       167.9        0.99      0.8943      0.0658      0.0725       2.756       8.684       5.504              </t>
  </si>
  <si>
    <t xml:space="preserve">       175.2        1.03      0.9066      0.0556      0.0631       2.396       7.551       4.650              </t>
  </si>
  <si>
    <t xml:space="preserve">       182.5        1.07      0.9152      0.0451      0.0528       2.007       6.325       3.774              </t>
  </si>
  <si>
    <t xml:space="preserve">       189.8        1.11      0.9173      0.0344      0.0418       1.588       5.004       2.877              </t>
  </si>
  <si>
    <t xml:space="preserve">       197.1        1.16      0.8996      0.0234      0.0300       1.142       3.598       1.954              </t>
  </si>
  <si>
    <t xml:space="preserve">       204.4        1.20      0.8122      0.0120      0.0177       0.672       2.117       1.001              </t>
  </si>
  <si>
    <t xml:space="preserve">       211.7        1.24      0.0387      0.0002      0.0051       0.193       0.607       0.013              </t>
  </si>
  <si>
    <t xml:space="preserve">         PROP RPM =      21000                                                                                </t>
  </si>
  <si>
    <t xml:space="preserve">         0.0        0.00      0.0000      0.1629      0.4580      20.146      60.463      15.012              </t>
  </si>
  <si>
    <t xml:space="preserve">         7.6        0.04      0.0158      0.1635      0.4422      19.454      58.385      15.066              </t>
  </si>
  <si>
    <t xml:space="preserve">        15.3        0.09      0.0329      0.1638      0.4249      18.691      56.097      15.102              </t>
  </si>
  <si>
    <t xml:space="preserve">        22.9        0.13      0.0517      0.1640      0.4062      17.871      53.633      15.118              </t>
  </si>
  <si>
    <t xml:space="preserve">        30.6        0.17      0.0717      0.1643      0.3911      17.205      51.637      15.139              </t>
  </si>
  <si>
    <t xml:space="preserve">        38.2        0.21      0.0944      0.1640      0.3710      16.320      48.978      15.115              </t>
  </si>
  <si>
    <t xml:space="preserve">        45.9        0.26      0.1187      0.1637      0.3532      15.539      46.635      15.085              </t>
  </si>
  <si>
    <t xml:space="preserve">        53.5        0.30      0.1463      0.1629      0.3326      14.632      43.915      15.012              </t>
  </si>
  <si>
    <t xml:space="preserve">        61.1        0.34      0.1776      0.1618      0.3110      13.683      41.064      14.910              </t>
  </si>
  <si>
    <t xml:space="preserve">        68.8        0.38      0.2130      0.1603      0.2893      12.726      38.192      14.778              </t>
  </si>
  <si>
    <t xml:space="preserve">        76.4        0.43      0.2532      0.1586      0.2674      11.762      35.299      14.616              </t>
  </si>
  <si>
    <t xml:space="preserve">        84.1        0.47      0.2986      0.1566      0.2463      10.836      32.522      14.433              </t>
  </si>
  <si>
    <t xml:space="preserve">        91.7        0.51      0.3498      0.1543      0.2260       9.944      29.843      14.223              </t>
  </si>
  <si>
    <t xml:space="preserve">        99.3        0.56      0.4083      0.1517      0.2063       9.073      27.230      13.985              </t>
  </si>
  <si>
    <t xml:space="preserve">       107.0        0.60      0.4710      0.1491      0.1893       8.325      24.986      13.743              </t>
  </si>
  <si>
    <t xml:space="preserve">       114.6        0.64-NaN        -NaN        -NaN        -NaN        -NaN        -NaN                      </t>
  </si>
  <si>
    <t xml:space="preserve">       122.3        0.68      0.6375      0.1395      0.1495       6.575      19.732      12.856              </t>
  </si>
  <si>
    <t xml:space="preserve">       129.9        0.73      0.7351      0.1306      0.1290       5.673      17.026      12.039              </t>
  </si>
  <si>
    <t xml:space="preserve">       137.6        0.77-NaN        -NaN        -NaN        -NaN        -NaN        -NaN                      </t>
  </si>
  <si>
    <t xml:space="preserve">       145.2        0.81      0.8133      0.1099      0.1096       4.821      14.469      10.126              </t>
  </si>
  <si>
    <t xml:space="preserve">       152.8        0.85-NaN        -NaN        -NaN        -NaN        -NaN        -NaN                      </t>
  </si>
  <si>
    <t xml:space="preserve">       160.5        0.90-NaN        -NaN        -NaN        -NaN        -NaN        -NaN                      </t>
  </si>
  <si>
    <t xml:space="preserve">       168.1        0.94-NaN        -NaN        -NaN        -NaN        -NaN        -NaN                      </t>
  </si>
  <si>
    <t xml:space="preserve">       175.8        0.98-NaN        -NaN        -NaN        -NaN        -NaN        -NaN                      </t>
  </si>
  <si>
    <t xml:space="preserve">       183.4        1.02      0.9053      0.0581      0.0657       2.892       8.680       5.354              </t>
  </si>
  <si>
    <t xml:space="preserve">       191.0        1.07      0.9132      0.0474      0.0554       2.435       7.309       4.365              </t>
  </si>
  <si>
    <t xml:space="preserve">       198.7        1.11      0.9130      0.0362      0.0440       1.937       5.814       3.338              </t>
  </si>
  <si>
    <t xml:space="preserve">       206.3        1.15      0.8887      0.0247      0.0320       1.410       4.230       2.277              </t>
  </si>
  <si>
    <t xml:space="preserve">       214.0        1.20      0.8019      0.0129      0.0192       0.846       2.538       1.189              </t>
  </si>
  <si>
    <t xml:space="preserve">       221.6        1.24      0.0195      0.0001      0.0064       0.283       0.850       0.009              </t>
  </si>
  <si>
    <t xml:space="preserve">         PROP RPM =       1000</t>
  </si>
  <si>
    <t>V</t>
  </si>
  <si>
    <t>J</t>
  </si>
  <si>
    <t>Pe</t>
  </si>
  <si>
    <t>Ct</t>
  </si>
  <si>
    <t>Cp</t>
  </si>
  <si>
    <t>PWR</t>
  </si>
  <si>
    <t>Torque</t>
  </si>
  <si>
    <t>Thrust</t>
  </si>
  <si>
    <t>(mph)</t>
  </si>
  <si>
    <t>(Adv Ratio)</t>
  </si>
  <si>
    <t>(Hp)</t>
  </si>
  <si>
    <t>(In-Lbf)</t>
  </si>
  <si>
    <t>(Lbf)</t>
  </si>
  <si>
    <t>31.911      1</t>
  </si>
  <si>
    <t>30.862      1</t>
  </si>
  <si>
    <t>29.771      1</t>
  </si>
  <si>
    <t>28.643      1</t>
  </si>
  <si>
    <t>27.487      1</t>
  </si>
  <si>
    <t>26.293      1</t>
  </si>
  <si>
    <t>25.033      1</t>
  </si>
  <si>
    <t>23.715      1</t>
  </si>
  <si>
    <t>22.411      1</t>
  </si>
  <si>
    <t>21.034      1</t>
  </si>
  <si>
    <t>19.652      1</t>
  </si>
  <si>
    <t>18.261      1</t>
  </si>
  <si>
    <t>16.855      1</t>
  </si>
  <si>
    <t>@</t>
  </si>
  <si>
    <t>APC</t>
  </si>
  <si>
    <t>Direct copy and paste from apc</t>
  </si>
  <si>
    <t>Direct refence from APC data</t>
  </si>
  <si>
    <t>copy and paste and covert values into array by text to columns</t>
  </si>
  <si>
    <t>ct</t>
  </si>
  <si>
    <t>cp</t>
  </si>
  <si>
    <t>y = 0.2165x4 - 0.5405x3 + 0.2834x2 - 0.0374x + 0.1329</t>
  </si>
  <si>
    <r>
      <t>y = 0.1206x</t>
    </r>
    <r>
      <rPr>
        <vertAlign val="super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- 0.3979x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+ 0.2586x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+ 0.003x + 0.0803</t>
    </r>
  </si>
  <si>
    <t>cq</t>
  </si>
  <si>
    <t>density</t>
  </si>
  <si>
    <t>(slug/ft^3)</t>
  </si>
  <si>
    <t>average density</t>
  </si>
  <si>
    <t>in</t>
  </si>
  <si>
    <t>Kq</t>
  </si>
  <si>
    <t>torque coefficient</t>
  </si>
  <si>
    <t>y = 0.027x4 - 0.08x3 + 0.0507x2 - 0.0004x + 0.0127</t>
  </si>
  <si>
    <t>a</t>
  </si>
  <si>
    <t>b</t>
  </si>
  <si>
    <t>c</t>
  </si>
  <si>
    <t>d</t>
  </si>
  <si>
    <t>e</t>
  </si>
  <si>
    <t>x4</t>
  </si>
  <si>
    <t>x3</t>
  </si>
  <si>
    <t>x2</t>
  </si>
  <si>
    <t>RPM</t>
  </si>
  <si>
    <t>V (ft/s)</t>
  </si>
  <si>
    <t>delta v</t>
  </si>
  <si>
    <t>* Propeller value are not valid for speeds less than 5 ft/s</t>
  </si>
  <si>
    <t>T (lbs)</t>
  </si>
  <si>
    <t>Q ft-lb</t>
  </si>
  <si>
    <t>P lb ft/s</t>
  </si>
  <si>
    <t>rev/min</t>
  </si>
  <si>
    <t>ft/s</t>
  </si>
  <si>
    <t>slug/ft^3</t>
  </si>
  <si>
    <t>units</t>
  </si>
  <si>
    <t>Q (in-lb)</t>
  </si>
  <si>
    <t>Propeller diameter</t>
  </si>
  <si>
    <t>Density</t>
  </si>
  <si>
    <t>Inputs</t>
  </si>
  <si>
    <t xml:space="preserve">x </t>
  </si>
  <si>
    <t>1 pound-foot/second = 1.355817948329 watt</t>
  </si>
  <si>
    <t>P (watts)</t>
  </si>
  <si>
    <t>Efficiencies</t>
  </si>
  <si>
    <t>speed controllers</t>
  </si>
  <si>
    <t>motor</t>
  </si>
  <si>
    <t>wires</t>
  </si>
  <si>
    <t>85 - 90</t>
  </si>
  <si>
    <t>http://www.rctoys.com/pr/2009/05/25/all-about-brushless-motors-what-you-need-to-know/</t>
  </si>
  <si>
    <t>Torque, Voltage, And RPM Linearly Related – This means that the amount of torque or RPM produced by the motor divided by the voltage put in is a constant, making it easy to predict how much power you’re going to get.</t>
  </si>
  <si>
    <t>DPP</t>
  </si>
  <si>
    <t>Graphlite</t>
  </si>
  <si>
    <t>DPP High Modulus*</t>
  </si>
  <si>
    <t>Standard</t>
  </si>
  <si>
    <t>Inch-Pound</t>
  </si>
  <si>
    <t>Metric</t>
  </si>
  <si>
    <t>Fiber Volume</t>
  </si>
  <si>
    <t>Tensile Strength</t>
  </si>
  <si>
    <t>320 ksi</t>
  </si>
  <si>
    <t>2.21 Gpa</t>
  </si>
  <si>
    <t>348 ksi</t>
  </si>
  <si>
    <t>2.40 Gpa</t>
  </si>
  <si>
    <t>363 ksi</t>
  </si>
  <si>
    <t>2.50 Gpa</t>
  </si>
  <si>
    <t>250 ksi</t>
  </si>
  <si>
    <t>1.72 Gpa</t>
  </si>
  <si>
    <t>Tensile Modulus</t>
  </si>
  <si>
    <t>19.5 msi</t>
  </si>
  <si>
    <t>134 Gpa</t>
  </si>
  <si>
    <t>34.9 msi</t>
  </si>
  <si>
    <t>240 Gpa</t>
  </si>
  <si>
    <t>20.7 msi</t>
  </si>
  <si>
    <t>140 Gpa</t>
  </si>
  <si>
    <t>Compression Strength</t>
  </si>
  <si>
    <t>256 ksi</t>
  </si>
  <si>
    <t>1.76 Gpa</t>
  </si>
  <si>
    <t>145 ksi</t>
  </si>
  <si>
    <t>1.00 Gpa</t>
  </si>
  <si>
    <t>232 ksi</t>
  </si>
  <si>
    <t>1.60 Gpa</t>
  </si>
  <si>
    <t>NA</t>
  </si>
  <si>
    <t>http://www.cstsales.com/rod_comp.html</t>
  </si>
  <si>
    <t>sigma(x,y,z) = -y *(E/Er)*((Mz-Mzt)*I*yy+(My+Myt)*I*yz)/(I*yy*I*ZZ-(I*yz)^2) - E*(alpha)*(deltaT)</t>
  </si>
  <si>
    <t>Loads</t>
  </si>
  <si>
    <t>Wing Bending Test</t>
  </si>
  <si>
    <t>weight</t>
  </si>
  <si>
    <t>5 lbs</t>
  </si>
  <si>
    <t>pitch speed</t>
  </si>
  <si>
    <t>Prop</t>
  </si>
  <si>
    <t>Input</t>
  </si>
  <si>
    <t>Motor</t>
  </si>
  <si>
    <t>Watts</t>
  </si>
  <si>
    <t>Pitch</t>
  </si>
  <si>
    <t>7x5-E</t>
  </si>
  <si>
    <t>7x6-E</t>
  </si>
  <si>
    <t>8x4-E</t>
  </si>
  <si>
    <t>8x6-E</t>
  </si>
  <si>
    <t>8x8-E</t>
  </si>
  <si>
    <t>Manf.</t>
  </si>
  <si>
    <t>Size</t>
  </si>
  <si>
    <t>Voltage</t>
  </si>
  <si>
    <t>Amps</t>
  </si>
  <si>
    <t>Speed</t>
  </si>
  <si>
    <t>Grams</t>
  </si>
  <si>
    <t>Ounces</t>
  </si>
  <si>
    <t>Grams/W</t>
  </si>
  <si>
    <t>Thrust Eff.</t>
  </si>
  <si>
    <t>mph</t>
  </si>
  <si>
    <t xml:space="preserve">Theoretical </t>
  </si>
  <si>
    <t xml:space="preserve">delta </t>
  </si>
  <si>
    <t>prop</t>
  </si>
  <si>
    <t>pitch</t>
  </si>
  <si>
    <t>9x6-SF</t>
  </si>
  <si>
    <t>9x7.5-SF</t>
  </si>
  <si>
    <t>10x3.8-SF</t>
  </si>
  <si>
    <t>10x4.7-SF</t>
  </si>
  <si>
    <t>10x7-E</t>
  </si>
  <si>
    <t>10x7-SF</t>
  </si>
  <si>
    <t>10x10-E</t>
  </si>
  <si>
    <t>11x3.8-SF</t>
  </si>
  <si>
    <t>11x4.7-SF</t>
  </si>
  <si>
    <t>11x5.5-E</t>
  </si>
  <si>
    <t>11x7-E</t>
  </si>
  <si>
    <t>11x7-SF</t>
  </si>
  <si>
    <t>11x8-E</t>
  </si>
  <si>
    <t>11x8.5-E</t>
  </si>
  <si>
    <t>11x10-E</t>
  </si>
  <si>
    <t>12x3.8-SF</t>
  </si>
  <si>
    <t>12x6-E</t>
  </si>
  <si>
    <t>12x6-SF</t>
  </si>
  <si>
    <t>12x8-E</t>
  </si>
  <si>
    <t>12x8-SF</t>
  </si>
  <si>
    <t>12x10-E</t>
  </si>
  <si>
    <t>12x12-E</t>
  </si>
  <si>
    <t>13x4-E</t>
  </si>
  <si>
    <t>13x4.7-SF</t>
  </si>
  <si>
    <t>13x6.5-E</t>
  </si>
  <si>
    <t>13x8-E</t>
  </si>
  <si>
    <t>13x10-E</t>
  </si>
  <si>
    <t>14x7-E</t>
  </si>
  <si>
    <t>14x8.5-E</t>
  </si>
  <si>
    <t>14x10-E</t>
  </si>
  <si>
    <t>14x12-E</t>
  </si>
  <si>
    <t>15x4-E</t>
  </si>
  <si>
    <t>15x6-E</t>
  </si>
  <si>
    <t>15x8-E</t>
  </si>
  <si>
    <t>15x10-E</t>
  </si>
  <si>
    <t>Prop2</t>
  </si>
  <si>
    <t>Prop3</t>
  </si>
  <si>
    <t>Thrust4</t>
  </si>
  <si>
    <t xml:space="preserve">         7x5E                     (7x5E.dat)                                   12/24/14                       </t>
  </si>
  <si>
    <t xml:space="preserve">         PROP RPM =       1000                                                                                </t>
  </si>
  <si>
    <t xml:space="preserve">         0.0        0.00      0.0000      0.1319      0.0659       0.000       0.006       0.010              </t>
  </si>
  <si>
    <t xml:space="preserve">         0.2        0.03      0.0645      0.1315      0.0670       0.000       0.006       0.010              </t>
  </si>
  <si>
    <t xml:space="preserve">         0.4        0.07      0.1264      0.1310      0.0682       0.000       0.006       0.010              </t>
  </si>
  <si>
    <t xml:space="preserve">         0.7        0.10      0.1855      0.1303      0.0693       0.000       0.006       0.010              </t>
  </si>
  <si>
    <t xml:space="preserve">         0.9        0.13      0.2419      0.1296      0.0705       0.000       0.006       0.010              </t>
  </si>
  <si>
    <t xml:space="preserve">         1.1        0.16      0.2956      0.1286      0.0715       0.000       0.006       0.010              </t>
  </si>
  <si>
    <t xml:space="preserve">         1.3        0.20      0.3464      0.1273      0.0725       0.000       0.006       0.010              </t>
  </si>
  <si>
    <t xml:space="preserve">         1.5        0.23      0.3946      0.1256      0.0733       0.000       0.006       0.010              </t>
  </si>
  <si>
    <t xml:space="preserve">         1.7        0.26      0.4400      0.1236      0.0739       0.000       0.006       0.009              </t>
  </si>
  <si>
    <t xml:space="preserve">         2.0        0.30      0.4826      0.1211      0.0743       0.000       0.006       0.009              </t>
  </si>
  <si>
    <t xml:space="preserve">         2.2        0.33      0.5224      0.1181      0.0743       0.000       0.006       0.009              </t>
  </si>
  <si>
    <t xml:space="preserve">         2.4        0.36      0.5593      0.1146      0.0741       0.000       0.006       0.009              </t>
  </si>
  <si>
    <t xml:space="preserve">         2.6        0.39      0.5934      0.1106      0.0735       0.000       0.006       0.008              </t>
  </si>
  <si>
    <t xml:space="preserve">         2.8        0.43      0.6245      0.1061      0.0726       0.000       0.006       0.008              </t>
  </si>
  <si>
    <t xml:space="preserve">         3.1        0.46      0.6526      0.1011      0.0713       0.000       0.006       0.008              </t>
  </si>
  <si>
    <t xml:space="preserve">         3.3        0.49      0.6777      0.0955      0.0696       0.000       0.006       0.007              </t>
  </si>
  <si>
    <t xml:space="preserve">         3.5        0.53      0.6995      0.0896      0.0674       0.000       0.006       0.007              </t>
  </si>
  <si>
    <t xml:space="preserve">         3.7        0.56      0.7183      0.0835      0.0650       0.000       0.006       0.006              </t>
  </si>
  <si>
    <t xml:space="preserve">         3.9        0.59      0.7341      0.0773      0.0624       0.000       0.005       0.006              </t>
  </si>
  <si>
    <t xml:space="preserve">         4.1        0.62      0.7473      0.0710      0.0594       0.000       0.005       0.005              </t>
  </si>
  <si>
    <t xml:space="preserve">         4.4        0.66      0.7580      0.0645      0.0560       0.000       0.005       0.005              </t>
  </si>
  <si>
    <t xml:space="preserve">         4.6        0.69      0.7666      0.0579      0.0521       0.000       0.004       0.004              </t>
  </si>
  <si>
    <t xml:space="preserve">         4.8        0.72      0.7729      0.0511      0.0478       0.000       0.004       0.004              </t>
  </si>
  <si>
    <t xml:space="preserve">         5.0        0.76      0.7761      0.0441      0.0429       0.000       0.004       0.003              </t>
  </si>
  <si>
    <t xml:space="preserve">         5.2        0.79      0.7752      0.0369      0.0376       0.000       0.003       0.003              </t>
  </si>
  <si>
    <t xml:space="preserve">         5.5        0.82      0.7673      0.0297      0.0318       0.000       0.003       0.002              </t>
  </si>
  <si>
    <t xml:space="preserve">         5.7        0.86      0.7448      0.0224      0.0257       0.000       0.002       0.002              </t>
  </si>
  <si>
    <t xml:space="preserve">         5.9        0.89      0.6920      0.0150      0.0193       0.000       0.002       0.001              </t>
  </si>
  <si>
    <t xml:space="preserve">         6.1        0.92      0.5590      0.0076      0.0125       0.000       0.001       0.001              </t>
  </si>
  <si>
    <t xml:space="preserve">         6.3        0.95     -0.0152     -0.0001      0.0059       0.000       0.001       0.000              </t>
  </si>
  <si>
    <t xml:space="preserve">         0.0        0.00      0.0000      0.1320      0.0659       0.001       0.022       0.040              </t>
  </si>
  <si>
    <t xml:space="preserve">         0.4        0.03      0.0644      0.1316      0.0671       0.001       0.023       0.040              </t>
  </si>
  <si>
    <t xml:space="preserve">         0.9        0.07      0.1262      0.1311      0.0682       0.001       0.023       0.040              </t>
  </si>
  <si>
    <t xml:space="preserve">         1.3        0.10      0.1853      0.1305      0.0694       0.001       0.024       0.040              </t>
  </si>
  <si>
    <t xml:space="preserve">         1.7        0.13      0.2416      0.1297      0.0705       0.001       0.024       0.040              </t>
  </si>
  <si>
    <t xml:space="preserve">         2.2        0.16      0.2952      0.1287      0.0716       0.001       0.024       0.039              </t>
  </si>
  <si>
    <t xml:space="preserve">         2.6        0.20      0.3460      0.1274      0.0726       0.001       0.025       0.039              </t>
  </si>
  <si>
    <t xml:space="preserve">         3.0        0.23      0.3942      0.1258      0.0734       0.001       0.025       0.038              </t>
  </si>
  <si>
    <t xml:space="preserve">         3.5        0.26      0.4395      0.1238      0.0740       0.001       0.025       0.038              </t>
  </si>
  <si>
    <t xml:space="preserve">         3.9        0.30      0.4821      0.1212      0.0743       0.001       0.025       0.037              </t>
  </si>
  <si>
    <t xml:space="preserve">         4.4        0.33      0.5219      0.1182      0.0744       0.001       0.025       0.036              </t>
  </si>
  <si>
    <t xml:space="preserve">         4.8        0.36      0.5589      0.1148      0.0742       0.001       0.025       0.035              </t>
  </si>
  <si>
    <t xml:space="preserve">         5.2        0.39      0.5929      0.1108      0.0736       0.001       0.025       0.034              </t>
  </si>
  <si>
    <t xml:space="preserve">         5.7        0.43      0.6241      0.1063      0.0727       0.001       0.025       0.033              </t>
  </si>
  <si>
    <t xml:space="preserve">         6.1        0.46      0.6522      0.1013      0.0714       0.001       0.024       0.031              </t>
  </si>
  <si>
    <t xml:space="preserve">         6.5        0.49      0.6773      0.0958      0.0697       0.001       0.024       0.029              </t>
  </si>
  <si>
    <t xml:space="preserve">         7.0        0.53      0.6992      0.0899      0.0675       0.001       0.023       0.027              </t>
  </si>
  <si>
    <t xml:space="preserve">         7.4        0.56      0.7180      0.0838      0.0651       0.001       0.022       0.026              </t>
  </si>
  <si>
    <t xml:space="preserve">         7.8        0.59      0.7339      0.0776      0.0625       0.001       0.021       0.024              </t>
  </si>
  <si>
    <t xml:space="preserve">         8.3        0.62      0.7471      0.0712      0.0595       0.001       0.020       0.022              </t>
  </si>
  <si>
    <t xml:space="preserve">         8.7        0.66      0.7579      0.0647      0.0561       0.001       0.019       0.020              </t>
  </si>
  <si>
    <t xml:space="preserve">         9.1        0.69      0.7665      0.0581      0.0523       0.001       0.018       0.018              </t>
  </si>
  <si>
    <t xml:space="preserve">         9.6        0.72      0.7728      0.0513      0.0480       0.001       0.016       0.016              </t>
  </si>
  <si>
    <t xml:space="preserve">        10.0        0.76      0.7761      0.0443      0.0431       0.000       0.015       0.014              </t>
  </si>
  <si>
    <t xml:space="preserve">        10.4        0.79      0.7753      0.0372      0.0378       0.000       0.013       0.011              </t>
  </si>
  <si>
    <t xml:space="preserve">        10.9        0.82      0.7675      0.0299      0.0320       0.000       0.011       0.009              </t>
  </si>
  <si>
    <t xml:space="preserve">        11.3        0.85      0.7451      0.0225      0.0258       0.000       0.009       0.007              </t>
  </si>
  <si>
    <t xml:space="preserve">        11.8        0.89      0.6925      0.0151      0.0194       0.000       0.007       0.005              </t>
  </si>
  <si>
    <t xml:space="preserve">        12.2        0.92      0.5587      0.0076      0.0125       0.000       0.004       0.002              </t>
  </si>
  <si>
    <t xml:space="preserve">        12.6        0.95     -0.0079      0.0000      0.0060       0.000       0.002       0.000              </t>
  </si>
  <si>
    <t xml:space="preserve">         0.0        0.00      0.0000      0.1320      0.0659       0.002       0.051       0.091              </t>
  </si>
  <si>
    <t xml:space="preserve">         0.7        0.03      0.0644      0.1316      0.0670       0.002       0.051       0.091              </t>
  </si>
  <si>
    <t xml:space="preserve">         1.3        0.07      0.1261      0.1310      0.0681       0.002       0.052       0.090              </t>
  </si>
  <si>
    <t xml:space="preserve">         2.0        0.10      0.1850      0.1304      0.0693       0.003       0.053       0.090              </t>
  </si>
  <si>
    <t xml:space="preserve">         2.6        0.13      0.2413      0.1296      0.0704       0.003       0.054       0.089              </t>
  </si>
  <si>
    <t xml:space="preserve">         3.3        0.16      0.2948      0.1286      0.0715       0.003       0.055       0.089              </t>
  </si>
  <si>
    <t xml:space="preserve">         3.9        0.20      0.3456      0.1273      0.0725       0.003       0.056       0.088              </t>
  </si>
  <si>
    <t xml:space="preserve">         4.6        0.23      0.3936      0.1257      0.0733       0.003       0.056       0.086              </t>
  </si>
  <si>
    <t xml:space="preserve">         5.2        0.26      0.4389      0.1236      0.0738       0.003       0.057       0.085              </t>
  </si>
  <si>
    <t xml:space="preserve">         5.9        0.30      0.4814      0.1211      0.0742       0.003       0.057       0.083              </t>
  </si>
  <si>
    <t xml:space="preserve">         6.5        0.33      0.5211      0.1181      0.0743       0.003       0.057       0.081              </t>
  </si>
  <si>
    <t xml:space="preserve">         7.2        0.36      0.5581      0.1147      0.0741       0.003       0.057       0.079              </t>
  </si>
  <si>
    <t xml:space="preserve">         7.8        0.39      0.5920      0.1107      0.0736       0.003       0.056       0.076              </t>
  </si>
  <si>
    <t xml:space="preserve">         8.5        0.43      0.6232      0.1063      0.0727       0.003       0.056       0.073              </t>
  </si>
  <si>
    <t xml:space="preserve">         9.1        0.46      0.6514      0.1013      0.0714       0.003       0.055       0.070              </t>
  </si>
  <si>
    <t xml:space="preserve">         9.8        0.49      0.6764      0.0958      0.0697       0.003       0.053       0.066              </t>
  </si>
  <si>
    <t xml:space="preserve">        10.4        0.52      0.6983      0.0900      0.0676       0.002       0.052       0.062              </t>
  </si>
  <si>
    <t xml:space="preserve">        11.1        0.56      0.7172      0.0839      0.0652       0.002       0.050       0.058              </t>
  </si>
  <si>
    <t xml:space="preserve">        11.7        0.59      0.7331      0.0778      0.0626       0.002       0.048       0.054              </t>
  </si>
  <si>
    <t xml:space="preserve">        12.4        0.62      0.7465      0.0715      0.0596       0.002       0.046       0.049              </t>
  </si>
  <si>
    <t xml:space="preserve">        13.0        0.66      0.7574      0.0651      0.0563       0.002       0.043       0.045              </t>
  </si>
  <si>
    <t xml:space="preserve">        13.7        0.69      0.7661      0.0584      0.0525       0.002       0.040       0.040              </t>
  </si>
  <si>
    <t xml:space="preserve">        14.3        0.72      0.7727      0.0517      0.0482       0.002       0.037       0.036              </t>
  </si>
  <si>
    <t xml:space="preserve">        15.0        0.75      0.7760      0.0447      0.0434       0.002       0.033       0.031              </t>
  </si>
  <si>
    <t xml:space="preserve">        15.6        0.79      0.7754      0.0375      0.0381       0.001       0.029       0.026              </t>
  </si>
  <si>
    <t xml:space="preserve">        16.3        0.82      0.7681      0.0302      0.0323       0.001       0.025       0.021              </t>
  </si>
  <si>
    <t xml:space="preserve">        16.9        0.85      0.7465      0.0228      0.0261       0.001       0.020       0.016              </t>
  </si>
  <si>
    <t xml:space="preserve">        17.6        0.89      0.6955      0.0154      0.0196       0.001       0.015       0.011              </t>
  </si>
  <si>
    <t xml:space="preserve">        18.3        0.92      0.5636      0.0078      0.0127       0.000       0.010       0.005              </t>
  </si>
  <si>
    <t xml:space="preserve">        18.9        0.95      0.0316      0.0002      0.0061       0.000       0.005       0.000              </t>
  </si>
  <si>
    <t xml:space="preserve">         0.0        0.00      0.0000      0.1321      0.0659       0.006       0.090       0.162              </t>
  </si>
  <si>
    <t xml:space="preserve">         0.9        0.03      0.0644      0.1316      0.0670       0.006       0.091       0.161              </t>
  </si>
  <si>
    <t xml:space="preserve">         1.7        0.07      0.1261      0.1311      0.0682       0.006       0.093       0.160              </t>
  </si>
  <si>
    <t xml:space="preserve">         2.6        0.10      0.1851      0.1305      0.0693       0.006       0.095       0.160              </t>
  </si>
  <si>
    <t xml:space="preserve">         3.5        0.13      0.2413      0.1297      0.0705       0.006       0.096       0.159              </t>
  </si>
  <si>
    <t xml:space="preserve">         4.3        0.16      0.2949      0.1287      0.0716       0.006       0.098       0.158              </t>
  </si>
  <si>
    <t xml:space="preserve">         5.2        0.20      0.3457      0.1274      0.0725       0.006       0.099       0.156              </t>
  </si>
  <si>
    <t xml:space="preserve">         6.1        0.23      0.3937      0.1258      0.0733       0.006       0.100       0.154              </t>
  </si>
  <si>
    <t xml:space="preserve">         7.0        0.26      0.4390      0.1237      0.0739       0.006       0.101       0.151              </t>
  </si>
  <si>
    <t xml:space="preserve">         7.8        0.30      0.4815      0.1213      0.0743       0.006       0.101       0.148              </t>
  </si>
  <si>
    <t xml:space="preserve">         8.7        0.33      0.5213      0.1183      0.0744       0.006       0.101       0.145              </t>
  </si>
  <si>
    <t xml:space="preserve">         9.6        0.36      0.5582      0.1149      0.0742       0.006       0.101       0.141              </t>
  </si>
  <si>
    <t xml:space="preserve">        10.4        0.39      0.5923      0.1109      0.0737       0.006       0.100       0.136              </t>
  </si>
  <si>
    <t xml:space="preserve">        11.3        0.43      0.6234      0.1064      0.0728       0.006       0.099       0.130              </t>
  </si>
  <si>
    <t xml:space="preserve">        12.2        0.46      0.6516      0.1014      0.0715       0.006       0.097       0.124              </t>
  </si>
  <si>
    <t xml:space="preserve">        13.0        0.49      0.6766      0.0960      0.0698       0.006       0.095       0.117              </t>
  </si>
  <si>
    <t xml:space="preserve">        13.9        0.52      0.6986      0.0901      0.0677       0.006       0.092       0.110              </t>
  </si>
  <si>
    <t xml:space="preserve">        14.8        0.56      0.7174      0.0841      0.0653       0.006       0.089       0.103              </t>
  </si>
  <si>
    <t xml:space="preserve">        15.6        0.59      0.7334      0.0779      0.0627       0.005       0.085       0.095              </t>
  </si>
  <si>
    <t xml:space="preserve">        16.5        0.62      0.7467      0.0716      0.0597       0.005       0.081       0.088              </t>
  </si>
  <si>
    <t xml:space="preserve">        17.4        0.66      0.7576      0.0651      0.0564       0.005       0.077       0.080              </t>
  </si>
  <si>
    <t xml:space="preserve">        18.3        0.69      0.7663      0.0585      0.0526       0.005       0.072       0.072              </t>
  </si>
  <si>
    <t xml:space="preserve">        19.1        0.72      0.7727      0.0517      0.0483       0.004       0.066       0.063              </t>
  </si>
  <si>
    <t xml:space="preserve">        20.0        0.75      0.7762      0.0447      0.0434       0.004       0.059       0.055              </t>
  </si>
  <si>
    <t xml:space="preserve">        20.9        0.79      0.7755      0.0376      0.0381       0.003       0.052       0.046              </t>
  </si>
  <si>
    <t xml:space="preserve">        21.7        0.82      0.7681      0.0302      0.0323       0.003       0.044       0.037              </t>
  </si>
  <si>
    <t xml:space="preserve">        22.6        0.85      0.7460      0.0228      0.0260       0.002       0.035       0.028              </t>
  </si>
  <si>
    <t xml:space="preserve">        23.5        0.89      0.6937      0.0152      0.0195       0.002       0.027       0.019              </t>
  </si>
  <si>
    <t xml:space="preserve">        24.3        0.92      0.5585      0.0076      0.0125       0.001       0.017       0.009              </t>
  </si>
  <si>
    <t xml:space="preserve">        25.2        0.95     -0.0028      0.0000      0.0060       0.001       0.008       0.000              </t>
  </si>
  <si>
    <t xml:space="preserve">         0.0        0.00      0.0000      0.1321      0.0660       0.011       0.141       0.253              </t>
  </si>
  <si>
    <t xml:space="preserve">         1.1        0.03      0.0643      0.1317      0.0671       0.011       0.143       0.252              </t>
  </si>
  <si>
    <t xml:space="preserve">         2.2        0.07      0.1260      0.1312      0.0683       0.012       0.145       0.251              </t>
  </si>
  <si>
    <t xml:space="preserve">         3.3        0.10      0.1850      0.1306      0.0694       0.012       0.148       0.250              </t>
  </si>
  <si>
    <t xml:space="preserve">         4.3        0.13      0.2412      0.1298      0.0706       0.012       0.150       0.248              </t>
  </si>
  <si>
    <t xml:space="preserve">         5.4        0.16      0.2947      0.1288      0.0716       0.012       0.153       0.246              </t>
  </si>
  <si>
    <t xml:space="preserve">         6.5        0.20      0.3455      0.1275      0.0726       0.012       0.155       0.244              </t>
  </si>
  <si>
    <t xml:space="preserve">         7.6        0.23      0.3935      0.1259      0.0734       0.012       0.156       0.241              </t>
  </si>
  <si>
    <t xml:space="preserve">         8.7        0.26      0.4388      0.1239      0.0740       0.013       0.158       0.237              </t>
  </si>
  <si>
    <t xml:space="preserve">         9.8        0.30      0.4814      0.1214      0.0744       0.013       0.158       0.232              </t>
  </si>
  <si>
    <t xml:space="preserve">        10.9        0.33      0.5211      0.1184      0.0745       0.013       0.159       0.226              </t>
  </si>
  <si>
    <t xml:space="preserve">        12.0        0.36      0.5580      0.1150      0.0743       0.013       0.158       0.220              </t>
  </si>
  <si>
    <t xml:space="preserve">        13.0        0.39      0.5921      0.1110      0.0738       0.012       0.157       0.212              </t>
  </si>
  <si>
    <t xml:space="preserve">        14.1        0.43      0.6233      0.1066      0.0729       0.012       0.155       0.204              </t>
  </si>
  <si>
    <t xml:space="preserve">        15.2        0.46      0.6515      0.1016      0.0716       0.012       0.152       0.194              </t>
  </si>
  <si>
    <t xml:space="preserve">        16.3        0.49      0.6765      0.0961      0.0699       0.012       0.149       0.184              </t>
  </si>
  <si>
    <t xml:space="preserve">        17.4        0.52      0.6985      0.0902      0.0678       0.011       0.144       0.173              </t>
  </si>
  <si>
    <t xml:space="preserve">        18.5        0.56      0.7174      0.0842      0.0654       0.011       0.139       0.161              </t>
  </si>
  <si>
    <t xml:space="preserve">        19.6        0.59      0.7334      0.0780      0.0628       0.011       0.134       0.149              </t>
  </si>
  <si>
    <t xml:space="preserve">        20.6        0.62      0.7467      0.0717      0.0598       0.010       0.127       0.137              </t>
  </si>
  <si>
    <t xml:space="preserve">        21.7        0.66      0.7576      0.0652      0.0565       0.010       0.120       0.125              </t>
  </si>
  <si>
    <t xml:space="preserve">        22.8        0.69      0.7663      0.0586      0.0526       0.009       0.112       0.112              </t>
  </si>
  <si>
    <t xml:space="preserve">        23.9        0.72      0.7728      0.0518      0.0483       0.008       0.103       0.099              </t>
  </si>
  <si>
    <t xml:space="preserve">        25.0        0.75      0.7762      0.0448      0.0435       0.007       0.093       0.086              </t>
  </si>
  <si>
    <t xml:space="preserve">        26.1        0.79      0.7757      0.0376      0.0382       0.006       0.081       0.072              </t>
  </si>
  <si>
    <t xml:space="preserve">        27.2        0.82      0.7683      0.0303      0.0323       0.005       0.069       0.058              </t>
  </si>
  <si>
    <t xml:space="preserve">        28.3        0.85      0.7463      0.0228      0.0261       0.004       0.056       0.044              </t>
  </si>
  <si>
    <t xml:space="preserve">        29.3        0.89      0.6941      0.0153      0.0195       0.003       0.042       0.029              </t>
  </si>
  <si>
    <t xml:space="preserve">        30.4        0.92      0.5590      0.0077      0.0126       0.002       0.027       0.015              </t>
  </si>
  <si>
    <t xml:space="preserve">        31.5        0.95     -0.0040      0.0000      0.0060       0.001       0.013       0.000              </t>
  </si>
  <si>
    <t xml:space="preserve">         0.0        0.00      0.0000      0.1322      0.0661       0.019       0.203       0.364              </t>
  </si>
  <si>
    <t xml:space="preserve">         1.3        0.03      0.0643      0.1317      0.0672       0.020       0.206       0.363              </t>
  </si>
  <si>
    <t xml:space="preserve">         2.6        0.07      0.1259      0.1312      0.0684       0.020       0.210       0.361              </t>
  </si>
  <si>
    <t xml:space="preserve">         3.9        0.10      0.1848      0.1306      0.0695       0.020       0.213       0.360              </t>
  </si>
  <si>
    <t xml:space="preserve">         5.2        0.13      0.2410      0.1299      0.0707       0.021       0.217       0.358              </t>
  </si>
  <si>
    <t xml:space="preserve">         6.5        0.16      0.2944      0.1289      0.0717       0.021       0.220       0.355              </t>
  </si>
  <si>
    <t xml:space="preserve">         7.8        0.20      0.3452      0.1276      0.0727       0.021       0.223       0.351              </t>
  </si>
  <si>
    <t xml:space="preserve">         9.1        0.23      0.3932      0.1260      0.0735       0.021       0.226       0.347              </t>
  </si>
  <si>
    <t xml:space="preserve">        10.4        0.26      0.4385      0.1240      0.0741       0.022       0.227       0.341              </t>
  </si>
  <si>
    <t xml:space="preserve">        11.7        0.29      0.4811      0.1215      0.0745       0.022       0.229       0.335              </t>
  </si>
  <si>
    <t xml:space="preserve">        13.0        0.33      0.5209      0.1186      0.0746       0.022       0.229       0.327              </t>
  </si>
  <si>
    <t xml:space="preserve">        14.3        0.36      0.5578      0.1152      0.0744       0.022       0.228       0.317              </t>
  </si>
  <si>
    <t xml:space="preserve">        15.6        0.39      0.5919      0.1112      0.0739       0.022       0.227       0.306              </t>
  </si>
  <si>
    <t xml:space="preserve">        16.9        0.43      0.6231      0.1067      0.0730       0.021       0.224       0.294              </t>
  </si>
  <si>
    <t xml:space="preserve">        18.3        0.46      0.6513      0.1017      0.0717       0.021       0.220       0.280              </t>
  </si>
  <si>
    <t xml:space="preserve">        19.6        0.49      0.6764      0.0963      0.0700       0.020       0.215       0.265              </t>
  </si>
  <si>
    <t xml:space="preserve">        20.9        0.52      0.6984      0.0904      0.0679       0.020       0.208       0.249              </t>
  </si>
  <si>
    <t xml:space="preserve">        22.2        0.56      0.7173      0.0843      0.0655       0.019       0.201       0.232              </t>
  </si>
  <si>
    <t xml:space="preserve">        23.5        0.59      0.7334      0.0781      0.0629       0.018       0.193       0.215              </t>
  </si>
  <si>
    <t xml:space="preserve">        24.8        0.62      0.7467      0.0718      0.0599       0.017       0.184       0.198              </t>
  </si>
  <si>
    <t xml:space="preserve">        26.1        0.66      0.7576      0.0654      0.0566       0.017       0.174       0.180              </t>
  </si>
  <si>
    <t xml:space="preserve">        27.4        0.69      0.7663      0.0587      0.0528       0.015       0.162       0.162              </t>
  </si>
  <si>
    <t xml:space="preserve">        28.7        0.72      0.7728      0.0519      0.0484       0.014       0.149       0.143              </t>
  </si>
  <si>
    <t xml:space="preserve">        30.0        0.75      0.7763      0.0449      0.0436       0.013       0.134       0.124              </t>
  </si>
  <si>
    <t xml:space="preserve">        31.3        0.79      0.7758      0.0378      0.0383       0.011       0.117       0.104              </t>
  </si>
  <si>
    <t xml:space="preserve">        32.6        0.82      0.7686      0.0304      0.0324       0.009       0.099       0.084              </t>
  </si>
  <si>
    <t xml:space="preserve">        33.9        0.85      0.7467      0.0229      0.0261       0.008       0.080       0.063              </t>
  </si>
  <si>
    <t xml:space="preserve">        35.2        0.88      0.6946      0.0153      0.0195       0.006       0.060       0.042              </t>
  </si>
  <si>
    <t xml:space="preserve">        36.5        0.92      0.5602      0.0077      0.0126       0.004       0.039       0.021              </t>
  </si>
  <si>
    <t xml:space="preserve">        37.8        0.95     -0.0016      0.0000      0.0060       0.002       0.018       0.000              </t>
  </si>
  <si>
    <t xml:space="preserve">         0.0        0.00      0.0000      0.1322      0.0662       0.031       0.276       0.496              </t>
  </si>
  <si>
    <t xml:space="preserve">         1.5        0.03      0.0642      0.1318      0.0673       0.031       0.281       0.494              </t>
  </si>
  <si>
    <t xml:space="preserve">         3.0        0.07      0.1257      0.1313      0.0685       0.032       0.286       0.492              </t>
  </si>
  <si>
    <t xml:space="preserve">         4.6        0.10      0.1846      0.1307      0.0696       0.032       0.291       0.490              </t>
  </si>
  <si>
    <t xml:space="preserve">         6.1        0.13      0.2408      0.1300      0.0708       0.033       0.295       0.487              </t>
  </si>
  <si>
    <t xml:space="preserve">         7.6        0.16      0.2942      0.1290      0.0719       0.033       0.300       0.483              </t>
  </si>
  <si>
    <t xml:space="preserve">         9.1        0.20      0.3449      0.1278      0.0728       0.034       0.304       0.479              </t>
  </si>
  <si>
    <t xml:space="preserve">        10.6        0.23      0.3930      0.1262      0.0737       0.034       0.308       0.473              </t>
  </si>
  <si>
    <t xml:space="preserve">        12.2        0.26      0.4383      0.1242      0.0743       0.034       0.310       0.465              </t>
  </si>
  <si>
    <t xml:space="preserve">        13.7        0.29      0.4808      0.1217      0.0747       0.035       0.312       0.456              </t>
  </si>
  <si>
    <t xml:space="preserve">        15.2        0.33      0.5206      0.1188      0.0748       0.035       0.312       0.445              </t>
  </si>
  <si>
    <t xml:space="preserve">        16.7        0.36      0.5576      0.1153      0.0746       0.035       0.311       0.432              </t>
  </si>
  <si>
    <t xml:space="preserve">        18.3        0.39      0.5917      0.1114      0.0740       0.034       0.309       0.417              </t>
  </si>
  <si>
    <t xml:space="preserve">        19.8        0.43      0.6229      0.1069      0.0731       0.034       0.305       0.401              </t>
  </si>
  <si>
    <t xml:space="preserve">        21.3        0.46      0.6512      0.1019      0.0718       0.033       0.300       0.382              </t>
  </si>
  <si>
    <t xml:space="preserve">        22.8        0.49      0.6763      0.0964      0.0701       0.033       0.293       0.361              </t>
  </si>
  <si>
    <t xml:space="preserve">        24.3        0.52      0.6984      0.0906      0.0680       0.032       0.284       0.339              </t>
  </si>
  <si>
    <t xml:space="preserve">        25.9        0.56      0.7173      0.0845      0.0656       0.030       0.274       0.317              </t>
  </si>
  <si>
    <t xml:space="preserve">        27.4        0.59      0.7334      0.0783      0.0630       0.029       0.263       0.293              </t>
  </si>
  <si>
    <t xml:space="preserve">        28.9        0.62      0.7467      0.0720      0.0600       0.028       0.251       0.270              </t>
  </si>
  <si>
    <t xml:space="preserve">        30.4        0.66      0.7577      0.0655      0.0567       0.026       0.237       0.245              </t>
  </si>
  <si>
    <t xml:space="preserve">        31.9        0.69      0.7664      0.0588      0.0528       0.025       0.221       0.221              </t>
  </si>
  <si>
    <t xml:space="preserve">        33.5        0.72      0.7729      0.0520      0.0485       0.023       0.203       0.195              </t>
  </si>
  <si>
    <t xml:space="preserve">        35.0        0.75      0.7764      0.0450      0.0437       0.020       0.182       0.169              </t>
  </si>
  <si>
    <t xml:space="preserve">        36.5        0.79      0.7759      0.0378      0.0384       0.018       0.160       0.142              </t>
  </si>
  <si>
    <t xml:space="preserve">        38.0        0.82      0.7687      0.0305      0.0325       0.015       0.136       0.114              </t>
  </si>
  <si>
    <t xml:space="preserve">        39.5        0.85      0.7469      0.0230      0.0262       0.012       0.109       0.086              </t>
  </si>
  <si>
    <t xml:space="preserve">        41.1        0.88      0.6949      0.0154      0.0196       0.009       0.082       0.058              </t>
  </si>
  <si>
    <t xml:space="preserve">        42.6        0.92      0.5605      0.0077      0.0126       0.006       0.053       0.029              </t>
  </si>
  <si>
    <t xml:space="preserve">        44.1        0.95     -0.0019      0.0000      0.0060       0.003       0.025       0.000              </t>
  </si>
  <si>
    <t xml:space="preserve">         0.0        0.00      0.0000      0.1322      0.0664       0.046       0.362       0.647              </t>
  </si>
  <si>
    <t xml:space="preserve">         1.7        0.03      0.0642      0.1318      0.0675       0.047       0.368       0.645              </t>
  </si>
  <si>
    <t xml:space="preserve">         3.5        0.07      0.1257      0.1313      0.0686       0.048       0.374       0.643              </t>
  </si>
  <si>
    <t xml:space="preserve">         5.2        0.10      0.1845      0.1307      0.0698       0.048       0.381       0.640              </t>
  </si>
  <si>
    <t xml:space="preserve">         7.0        0.13      0.2407      0.1299      0.0710       0.049       0.387       0.636              </t>
  </si>
  <si>
    <t xml:space="preserve">         8.7        0.16      0.2941      0.1290      0.0720       0.050       0.393       0.631              </t>
  </si>
  <si>
    <t xml:space="preserve">        10.5        0.20      0.3449      0.1277      0.0730       0.051       0.398       0.625              </t>
  </si>
  <si>
    <t xml:space="preserve">        12.2        0.23      0.3929      0.1261      0.0738       0.051       0.403       0.617              </t>
  </si>
  <si>
    <t xml:space="preserve">        13.9        0.26      0.4382      0.1241      0.0744       0.052       0.406       0.608              </t>
  </si>
  <si>
    <t xml:space="preserve">        15.7        0.30      0.4808      0.1216      0.0748       0.052       0.408       0.595              </t>
  </si>
  <si>
    <t xml:space="preserve">        17.4        0.33      0.5206      0.1187      0.0749       0.052       0.408       0.581              </t>
  </si>
  <si>
    <t xml:space="preserve">        19.2        0.36      0.5576      0.1152      0.0747       0.052       0.407       0.564              </t>
  </si>
  <si>
    <t xml:space="preserve">        20.9        0.39      0.5918      0.1112      0.0741       0.051       0.404       0.545              </t>
  </si>
  <si>
    <t xml:space="preserve">        22.7        0.43      0.6230      0.1067      0.0732       0.051       0.399       0.523              </t>
  </si>
  <si>
    <t xml:space="preserve">        24.4        0.46      0.6512      0.1017      0.0719       0.050       0.392       0.498              </t>
  </si>
  <si>
    <t xml:space="preserve">        26.1        0.49      0.6764      0.0962      0.0701       0.049       0.382       0.471              </t>
  </si>
  <si>
    <t xml:space="preserve">        27.9        0.53      0.6984      0.0903      0.0680       0.047       0.371       0.442              </t>
  </si>
  <si>
    <t xml:space="preserve">        29.6        0.56      0.7174      0.0842      0.0656       0.045       0.358       0.412              </t>
  </si>
  <si>
    <t xml:space="preserve">        31.4        0.59      0.7334      0.0780      0.0629       0.044       0.343       0.382              </t>
  </si>
  <si>
    <t xml:space="preserve">        33.1        0.62      0.7467      0.0717      0.0599       0.041       0.327       0.351              </t>
  </si>
  <si>
    <t xml:space="preserve">        34.8        0.66      0.7577      0.0652      0.0565       0.039       0.308       0.319              </t>
  </si>
  <si>
    <t xml:space="preserve">        36.6        0.69      0.7664      0.0585      0.0527       0.036       0.287       0.286              </t>
  </si>
  <si>
    <t xml:space="preserve">        38.3        0.72      0.7728      0.0517      0.0483       0.033       0.263       0.253              </t>
  </si>
  <si>
    <t xml:space="preserve">        40.1        0.76      0.7763      0.0446      0.0435       0.030       0.237       0.219              </t>
  </si>
  <si>
    <t xml:space="preserve">        41.8        0.79      0.7756      0.0375      0.0381       0.026       0.208       0.183              </t>
  </si>
  <si>
    <t xml:space="preserve">        43.6        0.82      0.7681      0.0301      0.0322       0.022       0.176       0.147              </t>
  </si>
  <si>
    <t xml:space="preserve">        45.3        0.85      0.7461      0.0227      0.0260       0.018       0.142       0.111              </t>
  </si>
  <si>
    <t xml:space="preserve">        47.0        0.89      0.6946      0.0152      0.0194       0.013       0.106       0.075              </t>
  </si>
  <si>
    <t xml:space="preserve">        48.8        0.92      0.5607      0.0076      0.0125       0.009       0.068       0.037              </t>
  </si>
  <si>
    <t xml:space="preserve">        50.5        0.95     -0.0104     -0.0001      0.0059       0.004       0.032       0.000              </t>
  </si>
  <si>
    <t xml:space="preserve">         0.0        0.00      0.0000      0.1323      0.0665       0.066       0.459       0.820              </t>
  </si>
  <si>
    <t xml:space="preserve">         2.0        0.03      0.0639      0.1319      0.0677       0.067       0.467       0.817              </t>
  </si>
  <si>
    <t xml:space="preserve">         3.9        0.07      0.1253      0.1314      0.0688       0.068       0.475       0.814              </t>
  </si>
  <si>
    <t xml:space="preserve">         5.9        0.10      0.1839      0.1308      0.0700       0.069       0.483       0.811              </t>
  </si>
  <si>
    <t xml:space="preserve">         7.8        0.13      0.2399      0.1301      0.0711       0.070       0.491       0.806              </t>
  </si>
  <si>
    <t xml:space="preserve">         9.8        0.16      0.2933      0.1292      0.0722       0.071       0.498       0.800              </t>
  </si>
  <si>
    <t xml:space="preserve">        11.7        0.20      0.3439      0.1279      0.0732       0.072       0.505       0.793              </t>
  </si>
  <si>
    <t xml:space="preserve">        13.7        0.23      0.3918      0.1264      0.0740       0.073       0.511       0.783              </t>
  </si>
  <si>
    <t xml:space="preserve">        15.6        0.26      0.4371      0.1244      0.0746       0.074       0.515       0.771              </t>
  </si>
  <si>
    <t xml:space="preserve">        17.6        0.30      0.4797      0.1219      0.0750       0.074       0.518       0.755              </t>
  </si>
  <si>
    <t xml:space="preserve">        19.6        0.33      0.5195      0.1190      0.0751       0.074       0.518       0.737              </t>
  </si>
  <si>
    <t xml:space="preserve">        21.5        0.36      0.5565      0.1156      0.0749       0.074       0.517       0.716              </t>
  </si>
  <si>
    <t xml:space="preserve">        23.5        0.39      0.5907      0.1116      0.0743       0.073       0.513       0.691              </t>
  </si>
  <si>
    <t xml:space="preserve">        25.4        0.43      0.6220      0.1071      0.0734       0.072       0.507       0.664              </t>
  </si>
  <si>
    <t xml:space="preserve">        27.4        0.46      0.6503      0.1021      0.0721       0.071       0.498       0.633              </t>
  </si>
  <si>
    <t xml:space="preserve">        29.3        0.49      0.6755      0.0967      0.0704       0.069       0.486       0.599              </t>
  </si>
  <si>
    <t xml:space="preserve">        31.3        0.52      0.6977      0.0908      0.0682       0.067       0.471       0.562              </t>
  </si>
  <si>
    <t xml:space="preserve">        33.3        0.56      0.7169      0.0847      0.0658       0.065       0.454       0.525              </t>
  </si>
  <si>
    <t xml:space="preserve">        35.2        0.59      0.7332      0.0785      0.0631       0.062       0.436       0.486              </t>
  </si>
  <si>
    <t xml:space="preserve">        37.2        0.62      0.7470      0.0721      0.0601       0.059       0.415       0.447              </t>
  </si>
  <si>
    <t xml:space="preserve">        39.1        0.66      0.7583      0.0656      0.0567       0.056       0.392       0.406              </t>
  </si>
  <si>
    <t xml:space="preserve">        41.1        0.69      0.7675      0.0589      0.0529       0.052       0.365       0.365              </t>
  </si>
  <si>
    <t xml:space="preserve">        43.0        0.72      0.7744      0.0521      0.0485       0.048       0.335       0.323              </t>
  </si>
  <si>
    <t xml:space="preserve">        45.0        0.75      0.7784      0.0451      0.0437       0.043       0.301       0.279              </t>
  </si>
  <si>
    <t xml:space="preserve">        46.9        0.79      0.7783      0.0379      0.0383       0.038       0.264       0.235              </t>
  </si>
  <si>
    <t xml:space="preserve">        48.9        0.82      0.7717      0.0306      0.0324       0.032       0.224       0.189              </t>
  </si>
  <si>
    <t xml:space="preserve">        50.9        0.85      0.7505      0.0230      0.0262       0.026       0.181       0.143              </t>
  </si>
  <si>
    <t xml:space="preserve">        52.8        0.89      0.6998      0.0154      0.0195       0.019       0.135       0.096              </t>
  </si>
  <si>
    <t xml:space="preserve">        54.8        0.92      0.5666      0.0078      0.0126       0.012       0.087       0.048              </t>
  </si>
  <si>
    <t xml:space="preserve">        56.7        0.95     -0.0121     -0.0001      0.0058       0.006       0.040       0.000              </t>
  </si>
  <si>
    <t xml:space="preserve">         0.0        0.00      0.0000      0.1322      0.0654       0.088       0.557       1.011              </t>
  </si>
  <si>
    <t xml:space="preserve">         2.2        0.03      0.0648      0.1319      0.0666       0.090       0.568       1.008              </t>
  </si>
  <si>
    <t xml:space="preserve">         4.3        0.07      0.1269      0.1313      0.0678       0.092       0.578       1.005              </t>
  </si>
  <si>
    <t xml:space="preserve">         6.5        0.10      0.1861      0.1307      0.0691       0.093       0.589       1.000              </t>
  </si>
  <si>
    <t xml:space="preserve">         8.7        0.13      0.2424      0.1300      0.0703       0.095       0.599       0.994              </t>
  </si>
  <si>
    <t xml:space="preserve">        10.9        0.16      0.2960      0.1291      0.0715       0.097       0.609       0.988              </t>
  </si>
  <si>
    <t xml:space="preserve">        13.0        0.20      0.3467      0.1279      0.0725       0.098       0.618       0.978              </t>
  </si>
  <si>
    <t xml:space="preserve">        15.2        0.23      0.3948      0.1263      0.0734       0.099       0.626       0.966              </t>
  </si>
  <si>
    <t xml:space="preserve">        17.4        0.26      0.4400      0.1244      0.0741       0.100       0.631       0.951              </t>
  </si>
  <si>
    <t xml:space="preserve">        19.5        0.29      0.4825      0.1219      0.0745       0.101       0.635       0.933              </t>
  </si>
  <si>
    <t xml:space="preserve">        21.7        0.33      0.5223      0.1190      0.0747       0.101       0.636       0.910              </t>
  </si>
  <si>
    <t xml:space="preserve">        23.9        0.36      0.5593      0.1156      0.0745       0.101       0.635       0.885              </t>
  </si>
  <si>
    <t xml:space="preserve">        26.1        0.39      0.5936      0.1117      0.0740       0.100       0.631       0.855              </t>
  </si>
  <si>
    <t xml:space="preserve">        28.2        0.43      0.6251      0.1073      0.0731       0.099       0.623       0.821              </t>
  </si>
  <si>
    <t xml:space="preserve">        30.4        0.46      0.6538      0.1023      0.0718       0.097       0.612       0.783              </t>
  </si>
  <si>
    <t xml:space="preserve">        32.6        0.49      0.6796      0.0969      0.0701       0.095       0.597       0.741              </t>
  </si>
  <si>
    <t xml:space="preserve">        34.8        0.52      0.7025      0.0910      0.0679       0.092       0.579       0.696              </t>
  </si>
  <si>
    <t xml:space="preserve">        36.9        0.56      0.7224      0.0849      0.0655       0.089       0.558       0.649              </t>
  </si>
  <si>
    <t xml:space="preserve">        39.1        0.59      0.7396      0.0787      0.0627       0.085       0.535       0.602              </t>
  </si>
  <si>
    <t xml:space="preserve">        41.3        0.62      0.7541      0.0723      0.0597       0.081       0.508       0.553              </t>
  </si>
  <si>
    <t xml:space="preserve">        43.4        0.66      0.7662      0.0657      0.0562       0.076       0.479       0.503              </t>
  </si>
  <si>
    <t xml:space="preserve">        45.6        0.69      0.7760      0.0591      0.0524       0.071       0.446       0.452              </t>
  </si>
  <si>
    <t xml:space="preserve">        47.8        0.72      0.7833      0.0522      0.0480       0.065       0.409       0.399              </t>
  </si>
  <si>
    <t xml:space="preserve">        50.0        0.75      0.7875      0.0452      0.0433       0.058       0.369       0.346              </t>
  </si>
  <si>
    <t xml:space="preserve">        52.1        0.79      0.7875      0.0380      0.0380       0.051       0.324       0.291              </t>
  </si>
  <si>
    <t xml:space="preserve">        54.3        0.82      0.7808      0.0307      0.0322       0.044       0.274       0.235              </t>
  </si>
  <si>
    <t xml:space="preserve">        56.5        0.85      0.7596      0.0232      0.0260       0.035       0.221       0.177              </t>
  </si>
  <si>
    <t xml:space="preserve">        58.6        0.88      0.7088      0.0155      0.0194       0.026       0.165       0.119              </t>
  </si>
  <si>
    <t xml:space="preserve">        60.8        0.92      0.5755      0.0078      0.0124       0.017       0.106       0.060              </t>
  </si>
  <si>
    <t xml:space="preserve">        63.0        0.95     -0.0020      0.0000      0.0058       0.008       0.050       0.000              </t>
  </si>
  <si>
    <t xml:space="preserve">         0.0        0.00      0.0000      0.1322      0.0643       0.116       0.663       1.223              </t>
  </si>
  <si>
    <t xml:space="preserve">         2.4        0.03      0.0658      0.1318      0.0656       0.118       0.676       1.220              </t>
  </si>
  <si>
    <t xml:space="preserve">         4.8        0.07      0.1287      0.1313      0.0669       0.120       0.690       1.215              </t>
  </si>
  <si>
    <t xml:space="preserve">         7.2        0.10      0.1884      0.1308      0.0682       0.123       0.703       1.210              </t>
  </si>
  <si>
    <t xml:space="preserve">         9.6        0.13      0.2452      0.1301      0.0695       0.125       0.717       1.204              </t>
  </si>
  <si>
    <t xml:space="preserve">        11.9        0.16      0.2990      0.1292      0.0708       0.127       0.730       1.196              </t>
  </si>
  <si>
    <t xml:space="preserve">        14.3        0.20      0.3498      0.1280      0.0719       0.129       0.742       1.185              </t>
  </si>
  <si>
    <t xml:space="preserve">        16.7        0.23      0.3978      0.1265      0.0729       0.131       0.752       1.171              </t>
  </si>
  <si>
    <t xml:space="preserve">        19.1        0.26      0.4431      0.1246      0.0737       0.133       0.760       1.153              </t>
  </si>
  <si>
    <t xml:space="preserve">        21.5        0.29      0.4855      0.1222      0.0742       0.134       0.765       1.131              </t>
  </si>
  <si>
    <t xml:space="preserve">        23.9        0.33      0.5252      0.1193      0.0744       0.134       0.767       1.104              </t>
  </si>
  <si>
    <t xml:space="preserve">        26.3        0.36      0.5622      0.1159      0.0743       0.134       0.766       1.073              </t>
  </si>
  <si>
    <t xml:space="preserve">        28.7        0.39      0.5965      0.1120      0.0738       0.133       0.761       1.037              </t>
  </si>
  <si>
    <t xml:space="preserve">        31.1        0.43      0.6282      0.1076      0.0729       0.131       0.752       0.996              </t>
  </si>
  <si>
    <t xml:space="preserve">        33.4        0.46      0.6572      0.1026      0.0716       0.129       0.738       0.949              </t>
  </si>
  <si>
    <t xml:space="preserve">        35.8        0.49      0.6834      0.0971      0.0698       0.126       0.720       0.899              </t>
  </si>
  <si>
    <t xml:space="preserve">        38.2        0.52      0.7069      0.0912      0.0676       0.122       0.697       0.844              </t>
  </si>
  <si>
    <t xml:space="preserve">        40.6        0.56      0.7275      0.0851      0.0652       0.117       0.672       0.788              </t>
  </si>
  <si>
    <t xml:space="preserve">        43.0        0.59      0.7454      0.0788      0.0624       0.112       0.643       0.730              </t>
  </si>
  <si>
    <t xml:space="preserve">        45.4        0.62      0.7607      0.0724      0.0593       0.107       0.611       0.670              </t>
  </si>
  <si>
    <t xml:space="preserve">        47.8        0.66      0.7736      0.0659      0.0558       0.100       0.575       0.610              </t>
  </si>
  <si>
    <t xml:space="preserve">        50.2        0.69      0.7840      0.0592      0.0519       0.093       0.535       0.548              </t>
  </si>
  <si>
    <t xml:space="preserve">        52.6        0.72      0.7917      0.0523      0.0476       0.086       0.491       0.484              </t>
  </si>
  <si>
    <t xml:space="preserve">        54.9        0.75      0.7959      0.0452      0.0428       0.077       0.442       0.419              </t>
  </si>
  <si>
    <t xml:space="preserve">        57.3        0.79      0.7960      0.0381      0.0376       0.068       0.388       0.352              </t>
  </si>
  <si>
    <t xml:space="preserve">        59.7        0.82      0.7891      0.0307      0.0319       0.057       0.328       0.284              </t>
  </si>
  <si>
    <t xml:space="preserve">        62.1        0.85      0.7674      0.0232      0.0257       0.046       0.265       0.214              </t>
  </si>
  <si>
    <t xml:space="preserve">        64.5        0.88      0.7163      0.0156      0.0192       0.035       0.198       0.144              </t>
  </si>
  <si>
    <t xml:space="preserve">        66.9        0.92      0.5825      0.0078      0.0123       0.022       0.127       0.072              </t>
  </si>
  <si>
    <t xml:space="preserve">        69.3        0.95     -0.0024      0.0000      0.0057       0.010       0.059       0.000              </t>
  </si>
  <si>
    <t xml:space="preserve">         0.0        0.00      0.0000      0.1322      0.0633       0.148       0.776       1.456              </t>
  </si>
  <si>
    <t xml:space="preserve">         2.6        0.03      0.0668      0.1318      0.0646       0.151       0.793       1.452              </t>
  </si>
  <si>
    <t xml:space="preserve">         5.2        0.07      0.1303      0.1314      0.0660       0.154       0.810       1.447              </t>
  </si>
  <si>
    <t xml:space="preserve">         7.8        0.10      0.1906      0.1308      0.0674       0.158       0.827       1.441              </t>
  </si>
  <si>
    <t xml:space="preserve">        10.4        0.13      0.2477      0.1302      0.0688       0.161       0.845       1.434              </t>
  </si>
  <si>
    <t xml:space="preserve">        13.0        0.16      0.3017      0.1293      0.0702       0.164       0.861       1.424              </t>
  </si>
  <si>
    <t xml:space="preserve">        15.6        0.20      0.3526      0.1282      0.0714       0.167       0.877       1.412              </t>
  </si>
  <si>
    <t xml:space="preserve">        18.2        0.23      0.4006      0.1267      0.0725       0.169       0.890       1.396              </t>
  </si>
  <si>
    <t xml:space="preserve">        20.8        0.26      0.4457      0.1248      0.0734       0.171       0.900       1.375              </t>
  </si>
  <si>
    <t xml:space="preserve">        23.4        0.29      0.4881      0.1225      0.0739       0.173       0.907       1.349              </t>
  </si>
  <si>
    <t xml:space="preserve">        26.0        0.33      0.5277      0.1196      0.0742       0.173       0.911       1.317              </t>
  </si>
  <si>
    <t xml:space="preserve">        28.7        0.36      0.5646      0.1163      0.0742       0.173       0.910       1.280              </t>
  </si>
  <si>
    <t xml:space="preserve">        31.3        0.39      0.5990      0.1124      0.0737       0.172       0.904       1.238              </t>
  </si>
  <si>
    <t xml:space="preserve">        33.9        0.43      0.6308      0.1079      0.0728       0.170       0.894       1.189              </t>
  </si>
  <si>
    <t xml:space="preserve">        36.5        0.46      0.6601      0.1030      0.0715       0.167       0.877       1.134              </t>
  </si>
  <si>
    <t xml:space="preserve">        39.1        0.49      0.6868      0.0975      0.0697       0.163       0.856       1.074              </t>
  </si>
  <si>
    <t xml:space="preserve">        41.7        0.52      0.7107      0.0916      0.0675       0.158       0.828       1.009              </t>
  </si>
  <si>
    <t xml:space="preserve">        44.3        0.56      0.7321      0.0854      0.0650       0.152       0.797       0.941              </t>
  </si>
  <si>
    <t xml:space="preserve">        46.9        0.59      0.7507      0.0791      0.0621       0.145       0.763       0.872              </t>
  </si>
  <si>
    <t xml:space="preserve">        49.5        0.62      0.7668      0.0727      0.0590       0.138       0.724       0.801              </t>
  </si>
  <si>
    <t xml:space="preserve">        52.1        0.65      0.7803      0.0661      0.0555       0.130       0.681       0.728              </t>
  </si>
  <si>
    <t xml:space="preserve">        54.7        0.69      0.7914      0.0593      0.0516       0.120       0.633       0.654              </t>
  </si>
  <si>
    <t xml:space="preserve">        57.3        0.72      0.7994      0.0524      0.0473       0.110       0.580       0.578              </t>
  </si>
  <si>
    <t xml:space="preserve">        59.9        0.75      0.8039      0.0454      0.0425       0.099       0.522       0.500              </t>
  </si>
  <si>
    <t xml:space="preserve">        62.5        0.79      0.8041      0.0382      0.0373       0.087       0.458       0.421              </t>
  </si>
  <si>
    <t xml:space="preserve">        65.1        0.82      0.7971      0.0308      0.0316       0.074       0.388       0.339              </t>
  </si>
  <si>
    <t xml:space="preserve">        67.7        0.85      0.7753      0.0233      0.0256       0.060       0.314       0.256              </t>
  </si>
  <si>
    <t xml:space="preserve">        70.3        0.88      0.7227      0.0156      0.0190       0.044       0.234       0.171              </t>
  </si>
  <si>
    <t xml:space="preserve">        72.9        0.92      0.5861      0.0078      0.0122       0.029       0.150       0.086              </t>
  </si>
  <si>
    <t xml:space="preserve">        75.5        0.95     -0.0037      0.0000      0.0057       0.013       0.070       0.000              </t>
  </si>
  <si>
    <t xml:space="preserve">         0.0        0.00      0.0000      0.1323      0.0623       0.185       0.897       1.710              </t>
  </si>
  <si>
    <t xml:space="preserve">         2.8        0.03      0.0678      0.1320      0.0637       0.189       0.918       1.706              </t>
  </si>
  <si>
    <t xml:space="preserve">         5.6        0.07      0.1321      0.1316      0.0652       0.194       0.939       1.701              </t>
  </si>
  <si>
    <t xml:space="preserve">         8.5        0.10      0.1930      0.1311      0.0667       0.198       0.961       1.694              </t>
  </si>
  <si>
    <t xml:space="preserve">        11.3        0.13      0.2505      0.1304      0.0682       0.203       0.982       1.686              </t>
  </si>
  <si>
    <t xml:space="preserve">        14.1        0.16      0.3047      0.1297      0.0697       0.207       1.003       1.676              </t>
  </si>
  <si>
    <t xml:space="preserve">        16.9        0.20      0.3557      0.1286      0.0710       0.211       1.023       1.662              </t>
  </si>
  <si>
    <t xml:space="preserve">        19.7        0.23      0.4037      0.1272      0.0722       0.214       1.040       1.644              </t>
  </si>
  <si>
    <t xml:space="preserve">        22.6        0.26      0.4488      0.1254      0.0732       0.217       1.054       1.621              </t>
  </si>
  <si>
    <t xml:space="preserve">        25.4        0.29      0.4911      0.1230      0.0738       0.219       1.063       1.591              </t>
  </si>
  <si>
    <t xml:space="preserve">        28.2        0.33      0.5307      0.1202      0.0742       0.220       1.068       1.554              </t>
  </si>
  <si>
    <t xml:space="preserve">        31.0        0.36      0.5676      0.1169      0.0742       0.220       1.068       1.511              </t>
  </si>
  <si>
    <t xml:space="preserve">        33.9        0.39      0.6020      0.1130      0.0737       0.219       1.062       1.461              </t>
  </si>
  <si>
    <t xml:space="preserve">        36.7        0.43      0.6339      0.1086      0.0729       0.217       1.050       1.403              </t>
  </si>
  <si>
    <t xml:space="preserve">        39.5        0.46      0.6635      0.1036      0.0716       0.213       1.030       1.339              </t>
  </si>
  <si>
    <t xml:space="preserve">        42.3        0.49      0.6905      0.0981      0.0698       0.207       1.004       1.268              </t>
  </si>
  <si>
    <t xml:space="preserve">        45.1        0.52      0.7150      0.0921      0.0675       0.200       0.972       1.191              </t>
  </si>
  <si>
    <t xml:space="preserve">        48.0        0.56      0.7369      0.0859      0.0649       0.193       0.935       1.111              </t>
  </si>
  <si>
    <t xml:space="preserve">        50.8        0.59      0.7562      0.0796      0.0620       0.184       0.893       1.029              </t>
  </si>
  <si>
    <t xml:space="preserve">        53.6        0.62      0.7729      0.0731      0.0588       0.175       0.847       0.945              </t>
  </si>
  <si>
    <t xml:space="preserve">        56.4        0.65      0.7872      0.0665      0.0553       0.164       0.796       0.859              </t>
  </si>
  <si>
    <t xml:space="preserve">        59.2        0.69      0.7988      0.0597      0.0514       0.153       0.740       0.771              </t>
  </si>
  <si>
    <t xml:space="preserve">        62.1        0.72      0.8072      0.0527      0.0471       0.140       0.678       0.682              </t>
  </si>
  <si>
    <t xml:space="preserve">        64.9        0.75      0.8118      0.0457      0.0423       0.126       0.610       0.590              </t>
  </si>
  <si>
    <t xml:space="preserve">        67.7        0.79      0.8120      0.0384      0.0371       0.110       0.534       0.496              </t>
  </si>
  <si>
    <t xml:space="preserve">        70.5        0.82      0.8046      0.0309      0.0314       0.093       0.452       0.399              </t>
  </si>
  <si>
    <t xml:space="preserve">        73.4        0.85      0.7822      0.0233      0.0254       0.075       0.365       0.301              </t>
  </si>
  <si>
    <t xml:space="preserve">        76.2        0.88      0.7301      0.0156      0.0189       0.056       0.273       0.202              </t>
  </si>
  <si>
    <t xml:space="preserve">        79.0        0.92      0.5930      0.0079      0.0121       0.036       0.175       0.102              </t>
  </si>
  <si>
    <t xml:space="preserve">        81.8        0.95     -0.0036      0.0000      0.0057       0.017       0.082       0.000              </t>
  </si>
  <si>
    <t xml:space="preserve">         0.0        0.00      0.0000      0.1323      0.0614       0.228       1.026       1.984              </t>
  </si>
  <si>
    <t xml:space="preserve">         3.0        0.03      0.0686      0.1320      0.0629       0.234       1.051       1.979              </t>
  </si>
  <si>
    <t xml:space="preserve">         6.1        0.07      0.1336      0.1316      0.0645       0.239       1.077       1.974              </t>
  </si>
  <si>
    <t xml:space="preserve">         9.1        0.10      0.1949      0.1312      0.0661       0.245       1.103       1.966              </t>
  </si>
  <si>
    <t xml:space="preserve">        12.1        0.13      0.2527      0.1306      0.0676       0.251       1.130       1.957              </t>
  </si>
  <si>
    <t xml:space="preserve">        15.2        0.16      0.3071      0.1298      0.0692       0.257       1.155       1.946              </t>
  </si>
  <si>
    <t xml:space="preserve">        18.2        0.20      0.3581      0.1288      0.0706       0.262       1.180       1.931              </t>
  </si>
  <si>
    <t xml:space="preserve">        21.3        0.23      0.4061      0.1275      0.0719       0.267       1.201       1.911              </t>
  </si>
  <si>
    <t xml:space="preserve">        24.3        0.26      0.4510      0.1257      0.0730       0.271       1.219       1.884              </t>
  </si>
  <si>
    <t xml:space="preserve">        27.3        0.29      0.4932      0.1234      0.0737       0.273       1.231       1.850              </t>
  </si>
  <si>
    <t xml:space="preserve">        30.4        0.33      0.5327      0.1206      0.0741       0.275       1.238       1.808              </t>
  </si>
  <si>
    <t xml:space="preserve">        33.4        0.36      0.5695      0.1173      0.0741       0.275       1.238       1.758              </t>
  </si>
  <si>
    <t xml:space="preserve">        36.4        0.39      0.6039      0.1134      0.0738       0.274       1.232       1.700              </t>
  </si>
  <si>
    <t xml:space="preserve">        39.5        0.43      0.6360      0.1090      0.0729       0.271       1.218       1.634              </t>
  </si>
  <si>
    <t xml:space="preserve">        42.5        0.46      0.6657      0.1040      0.0716       0.266       1.195       1.559              </t>
  </si>
  <si>
    <t xml:space="preserve">        45.6        0.49      0.6931      0.0985      0.0698       0.259       1.165       1.476              </t>
  </si>
  <si>
    <t xml:space="preserve">        48.6        0.52      0.7181      0.0925      0.0675       0.250       1.127       1.387              </t>
  </si>
  <si>
    <t xml:space="preserve">        51.6        0.56      0.7406      0.0863      0.0648       0.241       1.083       1.294              </t>
  </si>
  <si>
    <t xml:space="preserve">        54.7        0.59      0.7607      0.0799      0.0619       0.230       1.034       1.198              </t>
  </si>
  <si>
    <t xml:space="preserve">        57.7        0.62      0.7781      0.0734      0.0587       0.218       0.980       1.101              </t>
  </si>
  <si>
    <t xml:space="preserve">        60.7        0.65      0.7930      0.0667      0.0551       0.204       0.920       1.001              </t>
  </si>
  <si>
    <t xml:space="preserve">        63.8        0.69      0.8053      0.0599      0.0511       0.190       0.854       0.898              </t>
  </si>
  <si>
    <t xml:space="preserve">        66.8        0.72      0.8142      0.0529      0.0468       0.174       0.782       0.793              </t>
  </si>
  <si>
    <t xml:space="preserve">        69.9        0.75      0.8189      0.0458      0.0421       0.156       0.703       0.687              </t>
  </si>
  <si>
    <t xml:space="preserve">        72.9        0.79      0.8193      0.0385      0.0369       0.137       0.617       0.577              </t>
  </si>
  <si>
    <t xml:space="preserve">        75.9        0.82      0.8119      0.0310      0.0313       0.116       0.522       0.465              </t>
  </si>
  <si>
    <t xml:space="preserve">        79.0        0.85      0.7893      0.0234      0.0252       0.094       0.422       0.351              </t>
  </si>
  <si>
    <t xml:space="preserve">        82.0        0.88      0.7369      0.0157      0.0188       0.070       0.314       0.235              </t>
  </si>
  <si>
    <t xml:space="preserve">        85.0        0.92      0.5998      0.0079      0.0121       0.045       0.202       0.119              </t>
  </si>
  <si>
    <t xml:space="preserve">        88.1        0.95     -0.0481     -0.0003      0.0054       0.020       0.090      -0.004              </t>
  </si>
  <si>
    <t xml:space="preserve">         0.0        0.00      0.0000      0.1324      0.0606       0.277       1.162       2.278              </t>
  </si>
  <si>
    <t xml:space="preserve">         3.3        0.03      0.0694      0.1321      0.0622       0.284       1.193       2.273              </t>
  </si>
  <si>
    <t xml:space="preserve">         6.5        0.07      0.1349      0.1317      0.0638       0.291       1.224       2.267              </t>
  </si>
  <si>
    <t xml:space="preserve">         9.8        0.10      0.1966      0.1313      0.0655       0.299       1.256       2.259              </t>
  </si>
  <si>
    <t xml:space="preserve">        13.0        0.13      0.2546      0.1307      0.0671       0.306       1.287       2.249              </t>
  </si>
  <si>
    <t xml:space="preserve">        16.3        0.16      0.3090      0.1300      0.0687       0.314       1.318       2.237              </t>
  </si>
  <si>
    <t xml:space="preserve">        19.5        0.20      0.3601      0.1290      0.0703       0.321       1.348       2.221              </t>
  </si>
  <si>
    <t xml:space="preserve">        22.8        0.23      0.4079      0.1278      0.0717       0.327       1.374       2.199              </t>
  </si>
  <si>
    <t xml:space="preserve">        26.0        0.26      0.4527      0.1261      0.0728       0.332       1.396       2.170              </t>
  </si>
  <si>
    <t xml:space="preserve">        29.3        0.29      0.4948      0.1239      0.0736       0.336       1.412       2.131              </t>
  </si>
  <si>
    <t xml:space="preserve">        32.5        0.33      0.5341      0.1211      0.0741       0.338       1.421       2.084              </t>
  </si>
  <si>
    <t xml:space="preserve">        35.8        0.36      0.5709      0.1178      0.0742       0.339       1.423       2.028              </t>
  </si>
  <si>
    <t xml:space="preserve">        39.0        0.39      0.6053      0.1140      0.0739       0.337       1.416       1.961              </t>
  </si>
  <si>
    <t xml:space="preserve">        42.3        0.42      0.6374      0.1095      0.0730       0.333       1.400       1.885              </t>
  </si>
  <si>
    <t xml:space="preserve">        45.5        0.46      0.6674      0.1045      0.0717       0.327       1.375       1.799              </t>
  </si>
  <si>
    <t xml:space="preserve">        48.8        0.49      0.6951      0.0990      0.0699       0.319       1.339       1.704              </t>
  </si>
  <si>
    <t xml:space="preserve">        52.0        0.52      0.7206      0.0930      0.0675       0.308       1.295       1.601              </t>
  </si>
  <si>
    <t xml:space="preserve">        55.3        0.56      0.7437      0.0868      0.0649       0.296       1.244       1.494              </t>
  </si>
  <si>
    <t xml:space="preserve">        58.5        0.59      0.7644      0.0804      0.0619       0.282       1.187       1.384              </t>
  </si>
  <si>
    <t xml:space="preserve">        61.8        0.62      0.7824      0.0739      0.0586       0.268       1.124       1.271              </t>
  </si>
  <si>
    <t xml:space="preserve">        65.0        0.65      0.7979      0.0672      0.0550       0.251       1.055       1.156              </t>
  </si>
  <si>
    <t xml:space="preserve">        68.3        0.69      0.8108      0.0603      0.0511       0.233       0.979       1.038              </t>
  </si>
  <si>
    <t xml:space="preserve">        71.5        0.72      0.8200      0.0533      0.0468       0.213       0.896       0.918              </t>
  </si>
  <si>
    <t xml:space="preserve">        74.8        0.75      0.8249      0.0462      0.0421       0.192       0.807       0.794              </t>
  </si>
  <si>
    <t xml:space="preserve">        78.0        0.78      0.8254      0.0388      0.0369       0.168       0.708       0.668              </t>
  </si>
  <si>
    <t xml:space="preserve">        81.3        0.82      0.8184      0.0313      0.0313       0.143       0.600       0.539              </t>
  </si>
  <si>
    <t xml:space="preserve">        84.5        0.85      0.7965      0.0237      0.0253       0.115       0.485       0.408              </t>
  </si>
  <si>
    <t xml:space="preserve">        87.8        0.88      0.7453      0.0159      0.0189       0.086       0.361       0.274              </t>
  </si>
  <si>
    <t xml:space="preserve">        91.0        0.92      0.6090      0.0080      0.0120       0.055       0.231       0.138              </t>
  </si>
  <si>
    <t xml:space="preserve">        94.3        0.95     -0.0024      0.0000      0.0055       0.025       0.106       0.000              </t>
  </si>
  <si>
    <t xml:space="preserve">         0.0        0.00      0.0000      0.1332      0.0662       0.367       1.444       2.608              </t>
  </si>
  <si>
    <t xml:space="preserve">         3.5        0.03      0.0645      0.1329      0.0673       0.373       1.469       2.602              </t>
  </si>
  <si>
    <t xml:space="preserve">         6.9        0.07      0.1264      0.1325      0.0685       0.380       1.495       2.595              </t>
  </si>
  <si>
    <t xml:space="preserve">        10.4        0.10      0.1857      0.1321      0.0697       0.386       1.522       2.587              </t>
  </si>
  <si>
    <t xml:space="preserve">        13.9        0.13      0.2423      0.1315      0.0710       0.393       1.548       2.576              </t>
  </si>
  <si>
    <t xml:space="preserve">        17.3        0.16      0.2962      0.1308      0.0722       0.400       1.575       2.562              </t>
  </si>
  <si>
    <t xml:space="preserve">        20.8        0.20      0.3475      0.1299      0.0733       0.406       1.599       2.544              </t>
  </si>
  <si>
    <t xml:space="preserve">        24.3        0.23      0.3962      0.1287      0.0743       0.411       1.621       2.519              </t>
  </si>
  <si>
    <t xml:space="preserve">        27.7        0.26      0.4425      0.1270      0.0750       0.416       1.637       2.487              </t>
  </si>
  <si>
    <t xml:space="preserve">        31.2        0.29      0.4864      0.1248      0.0755       0.418       1.646       2.443              </t>
  </si>
  <si>
    <t xml:space="preserve">        34.7        0.33      0.5277      0.1220      0.0756       0.418       1.648       2.389              </t>
  </si>
  <si>
    <t xml:space="preserve">        38.1        0.36      0.5664      0.1187      0.0753       0.417       1.643       2.323              </t>
  </si>
  <si>
    <t xml:space="preserve">        41.6        0.39      0.6025      0.1147      0.0747       0.414       1.629       2.247              </t>
  </si>
  <si>
    <t xml:space="preserve">        45.1        0.42      0.6361      0.1103      0.0736       0.408       1.606       2.159              </t>
  </si>
  <si>
    <t xml:space="preserve">        48.5        0.46      0.6672      0.1052      0.0721       0.399       1.573       2.059              </t>
  </si>
  <si>
    <t xml:space="preserve">        52.0        0.49      0.6957      0.0996      0.0702       0.389       1.531       1.950              </t>
  </si>
  <si>
    <t xml:space="preserve">        55.5        0.52      0.7216      0.0935      0.0678       0.375       1.479       1.832              </t>
  </si>
  <si>
    <t xml:space="preserve">        58.9        0.56      0.7450      0.0873      0.0651       0.360       1.420       1.709              </t>
  </si>
  <si>
    <t xml:space="preserve">        62.4        0.59      0.7659      0.0808      0.0621       0.344       1.355       1.583              </t>
  </si>
  <si>
    <t xml:space="preserve">        65.9        0.62      0.7843      0.0743      0.0588       0.326       1.283       1.454              </t>
  </si>
  <si>
    <t xml:space="preserve">        69.3        0.65      0.8003      0.0675      0.0552       0.305       1.203       1.322              </t>
  </si>
  <si>
    <t xml:space="preserve">        72.8        0.69      0.8135      0.0606      0.0512       0.283       1.116       1.187              </t>
  </si>
  <si>
    <t xml:space="preserve">        76.3        0.72      0.8233      0.0536      0.0468       0.259       1.021       1.050              </t>
  </si>
  <si>
    <t xml:space="preserve">        79.7        0.75      0.8288      0.0464      0.0421       0.233       0.919       0.909              </t>
  </si>
  <si>
    <t xml:space="preserve">        83.2        0.78      0.8300      0.0391      0.0369       0.204       0.805       0.765              </t>
  </si>
  <si>
    <t xml:space="preserve">        86.7        0.82      0.8236      0.0315      0.0312       0.173       0.681       0.617              </t>
  </si>
  <si>
    <t xml:space="preserve">        90.1        0.85      0.8025      0.0238      0.0252       0.140       0.551       0.467              </t>
  </si>
  <si>
    <t xml:space="preserve">        93.6        0.88      0.7525      0.0160      0.0188       0.104       0.410       0.314              </t>
  </si>
  <si>
    <t xml:space="preserve">        97.1        0.92      0.6176      0.0081      0.0119       0.066       0.260       0.158              </t>
  </si>
  <si>
    <t xml:space="preserve">       100.5        0.95     -0.0026      0.0000      0.0054       0.030       0.118       0.000              </t>
  </si>
  <si>
    <t xml:space="preserve">         0.0        0.00      0.0000      0.1345      0.0764       0.508       1.882       2.973              </t>
  </si>
  <si>
    <t xml:space="preserve">         3.7        0.03      0.0571      0.1342      0.0767       0.510       1.890       2.967              </t>
  </si>
  <si>
    <t xml:space="preserve">         7.4        0.07      0.1135      0.1339      0.0771       0.512       1.898       2.959              </t>
  </si>
  <si>
    <t xml:space="preserve">        11.0        0.10      0.1689      0.1334      0.0774       0.514       1.907       2.949              </t>
  </si>
  <si>
    <t xml:space="preserve">        14.7        0.13      0.2232      0.1328      0.0778       0.517       1.915       2.936              </t>
  </si>
  <si>
    <t xml:space="preserve">        18.4        0.16      0.2763      0.1321      0.0781       0.519       1.923       2.920              </t>
  </si>
  <si>
    <t xml:space="preserve">        22.1        0.20      0.3281      0.1312      0.0784       0.520       1.930       2.899              </t>
  </si>
  <si>
    <t xml:space="preserve">        25.8        0.23      0.3784      0.1299      0.0785       0.521       1.933       2.871              </t>
  </si>
  <si>
    <t xml:space="preserve">        29.5        0.26      0.4271      0.1282      0.0784       0.521       1.932       2.833              </t>
  </si>
  <si>
    <t xml:space="preserve">        33.1        0.29      0.4739      0.1259      0.0781       0.519       1.924       2.783              </t>
  </si>
  <si>
    <t xml:space="preserve">        36.8        0.33      0.5183      0.1231      0.0776       0.515       1.911       2.721              </t>
  </si>
  <si>
    <t xml:space="preserve">        40.5        0.36      0.5599      0.1197      0.0768       0.510       1.891       2.645              </t>
  </si>
  <si>
    <t xml:space="preserve">        44.2        0.39      0.5984      0.1156      0.0758       0.503       1.866       2.556              </t>
  </si>
  <si>
    <t xml:space="preserve">        47.9        0.42      0.6340      0.1111      0.0744       0.494       1.832       2.455              </t>
  </si>
  <si>
    <t xml:space="preserve">        51.5        0.46      0.6666      0.1059      0.0727       0.483       1.789       2.341              </t>
  </si>
  <si>
    <t xml:space="preserve">        55.2        0.49      0.6959      0.1002      0.0706       0.469       1.738       2.215              </t>
  </si>
  <si>
    <t xml:space="preserve">        58.9        0.52      0.7223      0.0941      0.0681       0.452       1.677       2.080              </t>
  </si>
  <si>
    <t xml:space="preserve">        62.6        0.56      0.7460      0.0878      0.0654       0.434       1.610       1.941              </t>
  </si>
  <si>
    <t xml:space="preserve">        66.3        0.59      0.7672      0.0813      0.0623       0.414       1.535       1.798              </t>
  </si>
  <si>
    <t xml:space="preserve">        70.0        0.62      0.7860      0.0747      0.0590       0.392       1.453       1.652              </t>
  </si>
  <si>
    <t xml:space="preserve">        73.6        0.65      0.8023      0.0680      0.0554       0.368       1.363       1.502              </t>
  </si>
  <si>
    <t xml:space="preserve">        77.3        0.69      0.8161      0.0610      0.0513       0.341       1.264       1.349              </t>
  </si>
  <si>
    <t xml:space="preserve">        81.0        0.72      0.8264      0.0540      0.0469       0.312       1.156       1.193              </t>
  </si>
  <si>
    <t xml:space="preserve">        84.7        0.75      0.8325      0.0467      0.0422       0.280       1.038       1.032              </t>
  </si>
  <si>
    <t xml:space="preserve">        88.4        0.78      0.8342      0.0393      0.0369       0.245       0.910       0.869              </t>
  </si>
  <si>
    <t xml:space="preserve">        92.0        0.82      0.8287      0.0317      0.0313       0.208       0.770       0.701              </t>
  </si>
  <si>
    <t xml:space="preserve">        95.7        0.85      0.8083      0.0240      0.0252       0.168       0.621       0.530              </t>
  </si>
  <si>
    <t xml:space="preserve">        99.4        0.88      0.7595      0.0162      0.0188       0.125       0.462       0.357              </t>
  </si>
  <si>
    <t xml:space="preserve">       103.1        0.91      0.6260      0.0081      0.0119       0.079       0.292       0.179              </t>
  </si>
  <si>
    <t xml:space="preserve">       106.8        0.95     -0.0018      0.0000      0.0053       0.035       0.131       0.000              </t>
  </si>
  <si>
    <t xml:space="preserve">         0.0        0.00      0.0000      0.1358      0.0868       0.684       2.396       3.366              </t>
  </si>
  <si>
    <t xml:space="preserve">         3.9        0.03      0.0514      0.1355      0.0862       0.680       2.381       3.359              </t>
  </si>
  <si>
    <t xml:space="preserve">         7.8        0.07      0.1031      0.1352      0.0857       0.676       2.367       3.350              </t>
  </si>
  <si>
    <t xml:space="preserve">        11.7        0.10      0.1549      0.1347      0.0853       0.673       2.355       3.339              </t>
  </si>
  <si>
    <t xml:space="preserve">        15.6        0.13      0.2070      0.1341      0.0847       0.668       2.340       3.324              </t>
  </si>
  <si>
    <t xml:space="preserve">        19.5        0.16      0.2591      0.1334      0.0842       0.664       2.324       3.305              </t>
  </si>
  <si>
    <t xml:space="preserve">        23.4        0.20      0.3109      0.1324      0.0836       0.659       2.308       3.282              </t>
  </si>
  <si>
    <t xml:space="preserve">        27.3        0.23      0.3622      0.1312      0.0829       0.654       2.290       3.252              </t>
  </si>
  <si>
    <t xml:space="preserve">        31.2        0.26      0.4129      0.1295      0.0821       0.647       2.265       3.209              </t>
  </si>
  <si>
    <t xml:space="preserve">        35.1        0.29      0.4623      0.1272      0.0810       0.639       2.236       3.153              </t>
  </si>
  <si>
    <t xml:space="preserve">        39.0        0.33      0.5096      0.1243      0.0797       0.629       2.202       3.080              </t>
  </si>
  <si>
    <t xml:space="preserve">        42.9        0.36      0.5539      0.1208      0.0784       0.618       2.165       2.992              </t>
  </si>
  <si>
    <t xml:space="preserve">        46.8        0.39      0.5949      0.1166      0.0769       0.606       2.123       2.889              </t>
  </si>
  <si>
    <t xml:space="preserve">        50.7        0.43      0.6324      0.1119      0.0752       0.593       2.077       2.773              </t>
  </si>
  <si>
    <t xml:space="preserve">        54.6        0.46      0.6663      0.1066      0.0732       0.578       2.022       2.641              </t>
  </si>
  <si>
    <t xml:space="preserve">        58.5        0.49      0.6965      0.1008      0.0710       0.560       1.960       2.498              </t>
  </si>
  <si>
    <t xml:space="preserve">        62.4        0.52      0.7233      0.0946      0.0685       0.540       1.890       2.345              </t>
  </si>
  <si>
    <t xml:space="preserve">        66.3        0.56      0.7473      0.0882      0.0657       0.518       1.813       2.187              </t>
  </si>
  <si>
    <t xml:space="preserve">        70.2        0.59      0.7688      0.0817      0.0626       0.493       1.727       2.025              </t>
  </si>
  <si>
    <t xml:space="preserve">        74.1        0.62      0.7880      0.0751      0.0592       0.467       1.634       1.860              </t>
  </si>
  <si>
    <t xml:space="preserve">        78.0        0.65      0.8046      0.0682      0.0555       0.437       1.532       1.691              </t>
  </si>
  <si>
    <t xml:space="preserve">        81.9        0.69      0.8188      0.0613      0.0514       0.405       1.419       1.518              </t>
  </si>
  <si>
    <t xml:space="preserve">        85.8        0.72      0.8296      0.0541      0.0469       0.370       1.296       1.341              </t>
  </si>
  <si>
    <t xml:space="preserve">        89.7        0.75      0.8360      0.0468      0.0421       0.332       1.163       1.160              </t>
  </si>
  <si>
    <t xml:space="preserve">        93.6        0.78      0.8382      0.0393      0.0368       0.290       1.017       0.975              </t>
  </si>
  <si>
    <t xml:space="preserve">        97.6        0.82      0.8331      0.0317      0.0311       0.245       0.858       0.785              </t>
  </si>
  <si>
    <t xml:space="preserve">       101.5        0.85      0.8128      0.0239      0.0250       0.197       0.690       0.592              </t>
  </si>
  <si>
    <t xml:space="preserve">       105.4        0.88      0.7642      0.0160      0.0185       0.146       0.512       0.397              </t>
  </si>
  <si>
    <t xml:space="preserve">       109.3        0.92      0.6310      0.0081      0.0117       0.092       0.323       0.200              </t>
  </si>
  <si>
    <t xml:space="preserve">       113.2        0.95     -0.0029      0.0000      0.0053       0.042       0.146       0.000              </t>
  </si>
  <si>
    <t xml:space="preserve">         0.0        0.00      0.0000      0.1372      0.0973       0.903       2.994       3.789              </t>
  </si>
  <si>
    <t xml:space="preserve">         4.1        0.03      0.0466      0.1369      0.0960       0.890       2.953       3.781              </t>
  </si>
  <si>
    <t xml:space="preserve">         8.2        0.07      0.0943      0.1366      0.0946       0.878       2.911       3.770              </t>
  </si>
  <si>
    <t xml:space="preserve">        12.3        0.10      0.1430      0.1361      0.0933       0.865       2.869       3.758              </t>
  </si>
  <si>
    <t xml:space="preserve">        16.5        0.13      0.1927      0.1355      0.0919       0.852       2.826       3.741              </t>
  </si>
  <si>
    <t xml:space="preserve">        20.6        0.16      0.2434      0.1347      0.0904       0.839       2.782       3.720              </t>
  </si>
  <si>
    <t xml:space="preserve">        24.7        0.20      0.2948      0.1338      0.0890       0.825       2.737       3.693              </t>
  </si>
  <si>
    <t xml:space="preserve">        28.8        0.23      0.3466      0.1325      0.0874       0.811       2.689       3.659              </t>
  </si>
  <si>
    <t xml:space="preserve">        32.9        0.26      0.3986      0.1308      0.0858       0.795       2.638       3.612              </t>
  </si>
  <si>
    <t xml:space="preserve">        37.0        0.29      0.4501      0.1285      0.0840       0.779       2.582       3.548              </t>
  </si>
  <si>
    <t xml:space="preserve">        41.2        0.33      0.5001      0.1255      0.0820       0.760       2.522       3.465              </t>
  </si>
  <si>
    <t xml:space="preserve">        45.3        0.36      0.5471      0.1219      0.0801       0.742       2.463       3.365              </t>
  </si>
  <si>
    <t xml:space="preserve">        49.4        0.39      0.5904      0.1177      0.0781       0.725       2.404       3.249              </t>
  </si>
  <si>
    <t xml:space="preserve">        53.5        0.42      0.6297      0.1128      0.0761       0.706       2.341       3.116              </t>
  </si>
  <si>
    <t xml:space="preserve">        57.6        0.46      0.6650      0.1075      0.0739       0.686       2.274       2.967              </t>
  </si>
  <si>
    <t xml:space="preserve">        61.7        0.49      0.6961      0.1016      0.0715       0.663       2.201       2.806              </t>
  </si>
  <si>
    <t xml:space="preserve">        65.8        0.52      0.7234      0.0954      0.0689       0.639       2.120       2.634              </t>
  </si>
  <si>
    <t xml:space="preserve">        70.0        0.56      0.7477      0.0889      0.0661       0.613       2.032       2.456              </t>
  </si>
  <si>
    <t xml:space="preserve">        74.1        0.59      0.7696      0.0824      0.0629       0.584       1.936       2.274              </t>
  </si>
  <si>
    <t xml:space="preserve">        78.2        0.62      0.7891      0.0757      0.0595       0.552       1.831       2.089              </t>
  </si>
  <si>
    <t xml:space="preserve">        82.3        0.65      0.8062      0.0688      0.0558       0.517       1.715       1.899              </t>
  </si>
  <si>
    <t xml:space="preserve">        86.4        0.69      0.8208      0.0618      0.0516       0.479       1.589       1.706              </t>
  </si>
  <si>
    <t xml:space="preserve">        90.5        0.72      0.8322      0.0546      0.0472       0.437       1.451       1.508              </t>
  </si>
  <si>
    <t xml:space="preserve">        94.7        0.75      0.8393      0.0473      0.0423       0.392       1.302       1.305              </t>
  </si>
  <si>
    <t xml:space="preserve">        98.8        0.78      0.8422      0.0397      0.0370       0.343       1.138       1.097              </t>
  </si>
  <si>
    <t xml:space="preserve">       102.9        0.82      0.8379      0.0320      0.0312       0.290       0.961       0.885              </t>
  </si>
  <si>
    <t xml:space="preserve">       107.0        0.85      0.8189      0.0242      0.0252       0.233       0.774       0.669              </t>
  </si>
  <si>
    <t xml:space="preserve">       111.1        0.88      0.7720      0.0163      0.0186       0.173       0.573       0.450              </t>
  </si>
  <si>
    <t xml:space="preserve">       115.2        0.91      0.6412      0.0082      0.0117       0.109       0.360       0.227              </t>
  </si>
  <si>
    <t xml:space="preserve">       119.3        0.95     -0.0034      0.0000      0.0052       0.048       0.159      -0.001              </t>
  </si>
  <si>
    <t xml:space="preserve">         0.0        0.00      0.0000      0.1385      0.1081       1.169       3.683       4.237              </t>
  </si>
  <si>
    <t xml:space="preserve">         4.3        0.03      0.0426      0.1382      0.1059       1.145       3.609       4.229              </t>
  </si>
  <si>
    <t xml:space="preserve">         8.7        0.07      0.0869      0.1378      0.1037       1.122       3.535       4.217              </t>
  </si>
  <si>
    <t xml:space="preserve">        13.0        0.10      0.1327      0.1374      0.1015       1.097       3.458       4.203              </t>
  </si>
  <si>
    <t xml:space="preserve">        17.3        0.13      0.1802      0.1368      0.0992       1.073       3.382       4.184              </t>
  </si>
  <si>
    <t xml:space="preserve">        21.7        0.16      0.2292      0.1360      0.0969       1.048       3.303       4.161              </t>
  </si>
  <si>
    <t xml:space="preserve">        26.0        0.20      0.2799      0.1350      0.0946       1.023       3.223       4.131              </t>
  </si>
  <si>
    <t xml:space="preserve">        30.3        0.23      0.3320      0.1338      0.0922       0.997       3.141       4.093              </t>
  </si>
  <si>
    <t xml:space="preserve">        34.7        0.26      0.3850      0.1321      0.0897       0.970       3.057       4.041              </t>
  </si>
  <si>
    <t xml:space="preserve">        39.0        0.29      0.4383      0.1298      0.0871       0.942       2.968       3.971              </t>
  </si>
  <si>
    <t xml:space="preserve">        43.3        0.33      0.4906      0.1268      0.0844       0.913       2.877       3.878              </t>
  </si>
  <si>
    <t xml:space="preserve">        47.6        0.36      0.5404      0.1231      0.0819       0.885       2.790       3.766              </t>
  </si>
  <si>
    <t xml:space="preserve">        52.0        0.39      0.5860      0.1188      0.0794       0.859       2.708       3.633              </t>
  </si>
  <si>
    <t xml:space="preserve">        56.3        0.42      0.6272      0.1138      0.0771       0.834       2.627       3.483              </t>
  </si>
  <si>
    <t xml:space="preserve">        60.6        0.46      0.6638      0.1084      0.0747       0.808       2.545       3.316              </t>
  </si>
  <si>
    <t xml:space="preserve">        65.0        0.49      0.6958      0.1024      0.0721       0.780       2.459       3.133              </t>
  </si>
  <si>
    <t xml:space="preserve">        69.3        0.52      0.7237      0.0961      0.0694       0.751       2.366       2.940              </t>
  </si>
  <si>
    <t xml:space="preserve">        73.6        0.56      0.7482      0.0896      0.0665       0.720       2.268       2.742              </t>
  </si>
  <si>
    <t xml:space="preserve">        78.0        0.59      0.7704      0.0830      0.0634       0.686       2.161       2.541              </t>
  </si>
  <si>
    <t xml:space="preserve">        82.3        0.62      0.7903      0.0763      0.0599       0.648       2.043       2.334              </t>
  </si>
  <si>
    <t xml:space="preserve">        86.6        0.65      0.8078      0.0694      0.0561       0.607       1.913       2.123              </t>
  </si>
  <si>
    <t xml:space="preserve">        91.0        0.69      0.8228      0.0623      0.0519       0.562       1.771       1.906              </t>
  </si>
  <si>
    <t xml:space="preserve">        95.3        0.72      0.8347      0.0550      0.0474       0.513       1.616       1.684              </t>
  </si>
  <si>
    <t xml:space="preserve">        99.6        0.75      0.8424      0.0476      0.0425       0.459       1.448       1.457              </t>
  </si>
  <si>
    <t xml:space="preserve">       104.0        0.78      0.8458      0.0400      0.0371       0.401       1.265       1.225              </t>
  </si>
  <si>
    <t xml:space="preserve">       108.3        0.82      0.8423      0.0323      0.0313       0.339       1.067       0.988              </t>
  </si>
  <si>
    <t xml:space="preserve">       112.6        0.85      0.8241      0.0244      0.0252       0.272       0.858       0.747              </t>
  </si>
  <si>
    <t xml:space="preserve">       116.9        0.88      0.7781      0.0164      0.0186       0.201       0.635       0.502              </t>
  </si>
  <si>
    <t xml:space="preserve">       121.3        0.91      0.6484      0.0083      0.0117       0.126       0.398       0.253              </t>
  </si>
  <si>
    <t xml:space="preserve">       125.6        0.95     -0.0022      0.0000      0.0051       0.055       0.174       0.000              </t>
  </si>
  <si>
    <t xml:space="preserve">         0.0        0.00      0.0000      0.1398      0.1189       1.489       4.469       4.715              </t>
  </si>
  <si>
    <t xml:space="preserve">         4.5        0.03      0.0393      0.1395      0.1160       1.452       4.357       4.706              </t>
  </si>
  <si>
    <t xml:space="preserve">         9.1        0.07      0.0805      0.1391      0.1129       1.414       4.243       4.693              </t>
  </si>
  <si>
    <t xml:space="preserve">        13.6        0.10      0.1237      0.1387      0.1099       1.376       4.129       4.677              </t>
  </si>
  <si>
    <t xml:space="preserve">        18.2        0.13      0.1690      0.1380      0.1067       1.337       4.011       4.656              </t>
  </si>
  <si>
    <t xml:space="preserve">        22.7        0.16      0.2165      0.1373      0.1036       1.297       3.893       4.630              </t>
  </si>
  <si>
    <t xml:space="preserve">        27.3        0.20      0.2662      0.1363      0.1004       1.257       3.771       4.596              </t>
  </si>
  <si>
    <t xml:space="preserve">        31.8        0.23      0.3179      0.1350      0.0972       1.216       3.651       4.554              </t>
  </si>
  <si>
    <t xml:space="preserve">        36.4        0.26      0.3716      0.1334      0.0938       1.175       3.526       4.499              </t>
  </si>
  <si>
    <t xml:space="preserve">        40.9        0.29      0.4263      0.1311      0.0904       1.132       3.399       4.422              </t>
  </si>
  <si>
    <t xml:space="preserve">        45.5        0.33      0.4811      0.1281      0.0870       1.089       3.269       4.320              </t>
  </si>
  <si>
    <t xml:space="preserve">        50.0        0.36      0.5335      0.1243      0.0838       1.049       3.148       4.194              </t>
  </si>
  <si>
    <t xml:space="preserve">        54.6        0.39      0.5815      0.1199      0.0809       1.013       3.039       4.045              </t>
  </si>
  <si>
    <t xml:space="preserve">        59.1        0.42      0.6246      0.1149      0.0782       0.979       2.937       3.876              </t>
  </si>
  <si>
    <t xml:space="preserve">        63.7        0.46      0.6626      0.1093      0.0755       0.945       2.836       3.688              </t>
  </si>
  <si>
    <t xml:space="preserve">        68.2        0.49      0.6955      0.1033      0.0728       0.911       2.736       3.484              </t>
  </si>
  <si>
    <t xml:space="preserve">        72.8        0.52      0.7238      0.0969      0.0700       0.876       2.630       3.269              </t>
  </si>
  <si>
    <t xml:space="preserve">        77.3        0.56      0.7487      0.0904      0.0670       0.839       2.519       3.048              </t>
  </si>
  <si>
    <t xml:space="preserve">        81.9        0.59      0.7712      0.0837      0.0638       0.799       2.399       2.823              </t>
  </si>
  <si>
    <t xml:space="preserve">        86.4        0.62      0.7914      0.0769      0.0603       0.755       2.266       2.593              </t>
  </si>
  <si>
    <t xml:space="preserve">        91.0        0.65      0.8093      0.0699      0.0564       0.707       2.121       2.358              </t>
  </si>
  <si>
    <t xml:space="preserve">        95.5        0.69      0.8248      0.0628      0.0522       0.654       1.962       2.117              </t>
  </si>
  <si>
    <t xml:space="preserve">       100.1        0.72      0.8372      0.0555      0.0476       0.596       1.790       1.871              </t>
  </si>
  <si>
    <t xml:space="preserve">       104.6        0.75      0.8454      0.0480      0.0426       0.534       1.602       1.618              </t>
  </si>
  <si>
    <t xml:space="preserve">       109.2        0.78      0.8495      0.0403      0.0372       0.466       1.399       1.360              </t>
  </si>
  <si>
    <t xml:space="preserve">       113.7        0.82      0.8467      0.0325      0.0314       0.393       1.179       1.097              </t>
  </si>
  <si>
    <t xml:space="preserve">       118.3        0.85      0.8292      0.0246      0.0252       0.316       0.947       0.830              </t>
  </si>
  <si>
    <t xml:space="preserve">       122.8        0.88      0.7846      0.0166      0.0187       0.234       0.701       0.560              </t>
  </si>
  <si>
    <t xml:space="preserve">       127.4        0.91      0.6597      0.0085      0.0118       0.147       0.442       0.286              </t>
  </si>
  <si>
    <t xml:space="preserve">       131.9        0.95     -0.0011      0.0000      0.0050       0.063       0.188       0.000              </t>
  </si>
  <si>
    <t xml:space="preserve">         PROP RPM =      22000                                                                                </t>
  </si>
  <si>
    <t xml:space="preserve">         0.0        0.00      0.0000      0.1411      0.1303       1.876       5.374       5.225              </t>
  </si>
  <si>
    <t xml:space="preserve">         4.8        0.03      0.0364      0.1409      0.1264       1.819       5.212       5.214              </t>
  </si>
  <si>
    <t xml:space="preserve">         9.5        0.07      0.0748      0.1405      0.1227       1.766       5.060       5.201              </t>
  </si>
  <si>
    <t xml:space="preserve">        14.3        0.10      0.1156      0.1400      0.1187       1.709       4.895       5.183              </t>
  </si>
  <si>
    <t xml:space="preserve">        19.1        0.13      0.1587      0.1394      0.1147       1.652       4.732       5.160              </t>
  </si>
  <si>
    <t xml:space="preserve">        23.8        0.16      0.2048      0.1386      0.1105       1.591       4.559       5.130              </t>
  </si>
  <si>
    <t xml:space="preserve">        28.6        0.20      0.2531      0.1376      0.1065       1.534       4.394       5.094              </t>
  </si>
  <si>
    <t xml:space="preserve">        33.3        0.23      0.3047      0.1363      0.1023       1.473       4.219       5.047              </t>
  </si>
  <si>
    <t xml:space="preserve">        38.1        0.26      0.3585      0.1348      0.0982       1.414       4.051       4.988              </t>
  </si>
  <si>
    <t xml:space="preserve">        42.9        0.29      0.4147      0.1325      0.0939       1.352       3.874       4.905              </t>
  </si>
  <si>
    <t xml:space="preserve">        47.6        0.33      0.4714      0.1294      0.0897       1.291       3.699       4.792              </t>
  </si>
  <si>
    <t xml:space="preserve">        52.4        0.36      0.5263      0.1256      0.0858       1.235       3.537       4.651              </t>
  </si>
  <si>
    <t xml:space="preserve">        57.2        0.39      0.5767      0.1211      0.0823       1.185       3.395       4.484              </t>
  </si>
  <si>
    <t xml:space="preserve">        61.9        0.42      0.6217      0.1161      0.0793       1.141       3.269       4.296              </t>
  </si>
  <si>
    <t xml:space="preserve">        66.7        0.46      0.6610      0.1104      0.0764       1.099       3.149       4.086              </t>
  </si>
  <si>
    <t xml:space="preserve">        71.5        0.49      0.6948      0.1043      0.0735       1.059       3.033       3.860              </t>
  </si>
  <si>
    <t xml:space="preserve">        76.2        0.52      0.7236      0.0978      0.0707       1.017       2.914       3.622              </t>
  </si>
  <si>
    <t xml:space="preserve">        81.0        0.56      0.7488      0.0912      0.0677       0.974       2.790       3.377              </t>
  </si>
  <si>
    <t xml:space="preserve">        85.7        0.59      0.7716      0.0845      0.0644       0.927       2.656       3.128              </t>
  </si>
  <si>
    <t xml:space="preserve">        90.5        0.62      0.7922      0.0776      0.0608       0.875       2.508       2.873              </t>
  </si>
  <si>
    <t xml:space="preserve">        95.3        0.65      0.8105      0.0706      0.0569       0.819       2.346       2.613              </t>
  </si>
  <si>
    <t xml:space="preserve">       100.0        0.69      0.8264      0.0634      0.0526       0.757       2.169       2.346              </t>
  </si>
  <si>
    <t xml:space="preserve">       104.8        0.72      0.8394      0.0560      0.0480       0.690       1.978       2.074              </t>
  </si>
  <si>
    <t xml:space="preserve">       109.6        0.75      0.8482      0.0485      0.0429       0.618       1.770       1.794              </t>
  </si>
  <si>
    <t xml:space="preserve">       114.3        0.78      0.8529      0.0407      0.0374       0.539       1.543       1.507              </t>
  </si>
  <si>
    <t xml:space="preserve">       119.1        0.82      0.8509      0.0329      0.0315       0.454       1.301       1.217              </t>
  </si>
  <si>
    <t xml:space="preserve">       123.9        0.85      0.8343      0.0249      0.0253       0.364       1.043       0.920              </t>
  </si>
  <si>
    <t xml:space="preserve">       128.6        0.88      0.7909      0.0168      0.0187       0.269       0.772       0.621              </t>
  </si>
  <si>
    <t xml:space="preserve">       133.4        0.91      0.6651      0.0085      0.0117       0.168       0.482       0.315              </t>
  </si>
  <si>
    <t xml:space="preserve">       138.2        0.95     -0.0036      0.0000      0.0050       0.071       0.205      -0.001              </t>
  </si>
  <si>
    <t xml:space="preserve">         PROP RPM =      23000                                                                                </t>
  </si>
  <si>
    <t xml:space="preserve">         0.0        0.00      0.0000      0.1425      0.1426       2.345       6.426       5.766              </t>
  </si>
  <si>
    <t xml:space="preserve">         5.0        0.03      0.0337      0.1422      0.1379       2.268       6.214       5.755              </t>
  </si>
  <si>
    <t xml:space="preserve">        10.0        0.07      0.0696      0.1419      0.1331       2.190       6.000       5.741              </t>
  </si>
  <si>
    <t xml:space="preserve">        14.9        0.10      0.1080      0.1414      0.1283       2.110       5.782       5.721              </t>
  </si>
  <si>
    <t xml:space="preserve">        19.9        0.13      0.1491      0.1408      0.1234       2.030       5.562       5.696              </t>
  </si>
  <si>
    <t xml:space="preserve">        24.9        0.16      0.1931      0.1400      0.1184       1.948       5.338       5.664              </t>
  </si>
  <si>
    <t xml:space="preserve">        29.9        0.20      0.2405      0.1390      0.1133       1.863       5.106       5.624              </t>
  </si>
  <si>
    <t xml:space="preserve">        34.9        0.23      0.2911      0.1377      0.1082       1.779       4.876       5.573              </t>
  </si>
  <si>
    <t xml:space="preserve">        39.8        0.26      0.3451      0.1362      0.1031       1.696       4.648       5.510              </t>
  </si>
  <si>
    <t xml:space="preserve">        44.8        0.29      0.4019      0.1340      0.0980       1.612       4.418       5.423              </t>
  </si>
  <si>
    <t xml:space="preserve">        49.8        0.33      0.4604      0.1310      0.0929       1.529       4.189       5.300              </t>
  </si>
  <si>
    <t xml:space="preserve">        54.8        0.36      0.5181      0.1271      0.0882       1.450       3.974       5.144              </t>
  </si>
  <si>
    <t xml:space="preserve">        59.8        0.39      0.5713      0.1226      0.0841       1.383       3.790       4.959              </t>
  </si>
  <si>
    <t xml:space="preserve">        64.7        0.42      0.6183      0.1174      0.0806       1.326       3.633       4.749              </t>
  </si>
  <si>
    <t xml:space="preserve">        69.7        0.46      0.6591      0.1116      0.0774       1.274       3.490       4.515              </t>
  </si>
  <si>
    <t xml:space="preserve">        74.7        0.49      0.6938      0.1054      0.0744       1.224       3.354       4.263              </t>
  </si>
  <si>
    <t xml:space="preserve">        79.7        0.52      0.7231      0.0988      0.0714       1.175       3.220       3.999              </t>
  </si>
  <si>
    <t xml:space="preserve">        84.7        0.56      0.7487      0.0922      0.0684       1.125       3.081       3.730              </t>
  </si>
  <si>
    <t xml:space="preserve">        89.6        0.59      0.7718      0.0854      0.0650       1.070       2.932       3.455              </t>
  </si>
  <si>
    <t xml:space="preserve">        94.6        0.62      0.7927      0.0784      0.0614       1.010       2.768       3.174              </t>
  </si>
  <si>
    <t xml:space="preserve">        99.6        0.65      0.8114      0.0713      0.0574       0.945       2.588       2.886              </t>
  </si>
  <si>
    <t xml:space="preserve">       104.6        0.69      0.8278      0.0641      0.0531       0.873       2.392       2.592              </t>
  </si>
  <si>
    <t xml:space="preserve">       109.5        0.72      0.8414      0.0566      0.0484       0.796       2.181       2.292              </t>
  </si>
  <si>
    <t xml:space="preserve">       114.5        0.75      0.8508      0.0490      0.0433       0.712       1.950       1.983              </t>
  </si>
  <si>
    <t xml:space="preserve">       119.5        0.78      0.8562      0.0412      0.0377       0.621       1.700       1.667              </t>
  </si>
  <si>
    <t xml:space="preserve">       124.5        0.82      0.8551      0.0333      0.0318       0.522       1.432       1.346              </t>
  </si>
  <si>
    <t xml:space="preserve">       129.5        0.85      0.8397      0.0252      0.0255       0.420       1.150       1.021              </t>
  </si>
  <si>
    <t xml:space="preserve">       134.4        0.88      0.7972      0.0170      0.0188       0.309       0.848       0.688              </t>
  </si>
  <si>
    <t xml:space="preserve">       139.4        0.91      0.6713      0.0086      0.0117       0.192       0.526       0.347              </t>
  </si>
  <si>
    <t xml:space="preserve">       144.4        0.95     -0.0056      0.0000      0.0049       0.081       0.222      -0.001              </t>
  </si>
  <si>
    <t xml:space="preserve">         PROP RPM =      24000                                                                                </t>
  </si>
  <si>
    <t xml:space="preserve">         0.0        0.00      0.0000      0.1439      0.1558       2.912       7.647       6.341              </t>
  </si>
  <si>
    <t xml:space="preserve">         5.2        0.03      0.0312      0.1437      0.1502       2.807       7.371       6.331              </t>
  </si>
  <si>
    <t xml:space="preserve">        10.4        0.07      0.0648      0.1434      0.1445       2.701       7.093       6.316              </t>
  </si>
  <si>
    <t xml:space="preserve">        15.6        0.10      0.1009      0.1429      0.1387       2.592       6.808       6.295              </t>
  </si>
  <si>
    <t xml:space="preserve">        20.8        0.13      0.1398      0.1423      0.1329       2.483       6.521       6.268              </t>
  </si>
  <si>
    <t xml:space="preserve">        26.0        0.16      0.1819      0.1415      0.1270       2.373       6.231       6.234              </t>
  </si>
  <si>
    <t xml:space="preserve">        31.2        0.20      0.2276      0.1405      0.1209       2.260       5.935       6.190              </t>
  </si>
  <si>
    <t xml:space="preserve">        36.4        0.23      0.2770      0.1393      0.1149       2.147       5.639       6.136              </t>
  </si>
  <si>
    <t xml:space="preserve">        41.5        0.26      0.3306      0.1377      0.1088       2.033       5.340       6.067              </t>
  </si>
  <si>
    <t xml:space="preserve">        46.7        0.29      0.3881      0.1357      0.1027       1.920       5.042       5.979              </t>
  </si>
  <si>
    <t xml:space="preserve">        51.9        0.33      0.4481      0.1328      0.0967       1.808       4.748       5.851              </t>
  </si>
  <si>
    <t xml:space="preserve">        57.1        0.36      0.5087      0.1289      0.0910       1.700       4.465       5.678              </t>
  </si>
  <si>
    <t xml:space="preserve">        62.3        0.39      0.5652      0.1242      0.0861       1.608       4.224       5.471              </t>
  </si>
  <si>
    <t xml:space="preserve">        67.5        0.42      0.6144      0.1189      0.0821       1.535       4.030       5.237              </t>
  </si>
  <si>
    <t xml:space="preserve">        72.7        0.46      0.6566      0.1130      0.0787       1.470       3.860       4.979              </t>
  </si>
  <si>
    <t xml:space="preserve">        77.9        0.49      0.6923      0.1067      0.0755       1.410       3.703       4.700              </t>
  </si>
  <si>
    <t xml:space="preserve">        83.1        0.52      0.7222      0.1001      0.0724       1.353       3.552       4.409              </t>
  </si>
  <si>
    <t xml:space="preserve">        88.3        0.55      0.7481      0.0933      0.0692       1.294       3.398       4.111              </t>
  </si>
  <si>
    <t xml:space="preserve">        93.5        0.59      0.7715      0.0865      0.0659       1.231       3.232       3.810              </t>
  </si>
  <si>
    <t xml:space="preserve">        98.7        0.62      0.7928      0.0795      0.0622       1.162       3.051       3.501              </t>
  </si>
  <si>
    <t xml:space="preserve">       103.9        0.65      0.8120      0.0723      0.0581       1.086       2.852       3.184              </t>
  </si>
  <si>
    <t xml:space="preserve">       109.1        0.69      0.8289      0.0649      0.0537       1.003       2.635       2.860              </t>
  </si>
  <si>
    <t xml:space="preserve">       114.2        0.72      0.8431      0.0574      0.0489       0.914       2.400       2.529              </t>
  </si>
  <si>
    <t xml:space="preserve">       119.4        0.75      0.8532      0.0497      0.0437       0.817       2.146       2.189              </t>
  </si>
  <si>
    <t xml:space="preserve">       124.6        0.78      0.8593      0.0418      0.0381       0.713       1.872       1.843              </t>
  </si>
  <si>
    <t xml:space="preserve">       129.8        0.82      0.8592      0.0338      0.0321       0.600       1.575       1.489              </t>
  </si>
  <si>
    <t xml:space="preserve">       135.0        0.85      0.8449      0.0256      0.0257       0.481       1.264       1.129              </t>
  </si>
  <si>
    <t xml:space="preserve">       140.2        0.88      0.8037      0.0173      0.0190       0.354       0.931       0.762              </t>
  </si>
  <si>
    <t xml:space="preserve">       145.4        0.91      0.6790      0.0087      0.0118       0.220       0.577       0.385              </t>
  </si>
  <si>
    <t xml:space="preserve">       150.6        0.95     -0.0048      0.0000      0.0049       0.092       0.242      -0.001              </t>
  </si>
  <si>
    <t xml:space="preserve">         PROP RPM =      25000                                                                                </t>
  </si>
  <si>
    <t xml:space="preserve">         0.0        0.00      0.0000      0.1455      0.1713       3.619       9.124       6.954              </t>
  </si>
  <si>
    <t xml:space="preserve">         5.4        0.03      0.0288      0.1453      0.1647       3.479       8.772       6.945              </t>
  </si>
  <si>
    <t xml:space="preserve">        10.8        0.07      0.0599      0.1450      0.1579       3.336       8.410       6.930              </t>
  </si>
  <si>
    <t xml:space="preserve">        16.2        0.10      0.0936      0.1446      0.1512       3.193       8.051       6.910              </t>
  </si>
  <si>
    <t xml:space="preserve">        21.6        0.13      0.1303      0.1440      0.1442       3.046       7.679       6.881              </t>
  </si>
  <si>
    <t xml:space="preserve">        27.0        0.16      0.1704      0.1432      0.1370       2.894       7.296       6.844              </t>
  </si>
  <si>
    <t xml:space="preserve">        32.4        0.20      0.2141      0.1422      0.1300       2.745       6.921       6.798              </t>
  </si>
  <si>
    <t xml:space="preserve">        37.8        0.23      0.2621      0.1410      0.1228       2.594       6.540       6.740              </t>
  </si>
  <si>
    <t xml:space="preserve">        43.2        0.26      0.3148      0.1395      0.1156       2.442       6.156       6.668              </t>
  </si>
  <si>
    <t xml:space="preserve">        48.6        0.29      0.3727      0.1375      0.1083       2.288       5.769       6.575              </t>
  </si>
  <si>
    <t xml:space="preserve">        54.0        0.33      0.4340      0.1349      0.1013       2.141       5.397       6.447              </t>
  </si>
  <si>
    <t xml:space="preserve">        59.5        0.36      0.4973      0.1309      0.0945       1.995       5.030       6.259              </t>
  </si>
  <si>
    <t xml:space="preserve">        64.9        0.39      0.5579      0.1261      0.0885       1.869       4.713       6.029              </t>
  </si>
  <si>
    <t xml:space="preserve">        70.3        0.42      0.6096      0.1207      0.0839       1.773       4.470       5.769              </t>
  </si>
  <si>
    <t xml:space="preserve">        75.7        0.46      0.6536      0.1147      0.0801       1.693       4.267       5.482              </t>
  </si>
  <si>
    <t xml:space="preserve">        81.1        0.49      0.6903      0.1082      0.0767       1.620       4.084       5.172              </t>
  </si>
  <si>
    <t xml:space="preserve">        86.5        0.52      0.7209      0.1014      0.0734       1.551       3.911       4.849              </t>
  </si>
  <si>
    <t xml:space="preserve">        91.9        0.55      0.7472      0.0946      0.0702       1.483       3.739       4.522              </t>
  </si>
  <si>
    <t xml:space="preserve">        97.3        0.59      0.7709      0.0877      0.0668       1.411       3.556       4.192              </t>
  </si>
  <si>
    <t xml:space="preserve">       102.7        0.62      0.7926      0.0806      0.0630       1.331       3.357       3.854              </t>
  </si>
  <si>
    <t xml:space="preserve">       108.1        0.65      0.8122      0.0734      0.0589       1.244       3.137       3.506              </t>
  </si>
  <si>
    <t xml:space="preserve">       113.5        0.68      0.8297      0.0659      0.0544       1.149       2.896       3.149              </t>
  </si>
  <si>
    <t xml:space="preserve">       118.9        0.72      0.8446      0.0583      0.0495       1.046       2.636       2.785              </t>
  </si>
  <si>
    <t xml:space="preserve">       124.3        0.75      0.8554      0.0505      0.0443       0.935       2.357       2.412              </t>
  </si>
  <si>
    <t xml:space="preserve">       129.7        0.78      0.8621      0.0425      0.0386       0.816       2.056       2.033              </t>
  </si>
  <si>
    <t xml:space="preserve">       135.1        0.82      0.8628      0.0344      0.0325       0.686       1.730       1.643              </t>
  </si>
  <si>
    <t xml:space="preserve">       140.5        0.85      0.8491      0.0261      0.0261       0.550       1.388       1.247              </t>
  </si>
  <si>
    <t xml:space="preserve">       145.9        0.88      0.8076      0.0176      0.0192       0.406       1.023       0.843              </t>
  </si>
  <si>
    <t xml:space="preserve">       151.3        0.91      0.6829      0.0089      0.0119       0.252       0.635       0.426              </t>
  </si>
  <si>
    <t xml:space="preserve">       156.7        0.95     -0.0043      0.0000      0.0050       0.105       0.265      -0.001              </t>
  </si>
  <si>
    <t xml:space="preserve">         PROP RPM =      26000                                                                                </t>
  </si>
  <si>
    <t xml:space="preserve">         0.0        0.00      0.0000      0.1471      0.1918       4.557      11.046       7.607              </t>
  </si>
  <si>
    <t xml:space="preserve">         5.6        0.03      0.0260      0.1470      0.1839       4.369      10.591       7.601              </t>
  </si>
  <si>
    <t xml:space="preserve">        11.2        0.07      0.0544      0.1468      0.1758       4.177      10.126       7.590              </t>
  </si>
  <si>
    <t xml:space="preserve">        16.8        0.10      0.0854      0.1465      0.1675       3.980       9.648       7.573              </t>
  </si>
  <si>
    <t xml:space="preserve">        22.5        0.13      0.1196      0.1460      0.1590       3.779       9.159       7.546              </t>
  </si>
  <si>
    <t xml:space="preserve">        28.1        0.16      0.1572      0.1452      0.1505       3.575       8.666       7.510              </t>
  </si>
  <si>
    <t xml:space="preserve">        33.7        0.20      0.1988      0.1443      0.1418       3.371       8.171       7.462              </t>
  </si>
  <si>
    <t xml:space="preserve">        39.3        0.23      0.2450      0.1432      0.1332       3.166       7.674       7.402              </t>
  </si>
  <si>
    <t xml:space="preserve">        44.9        0.26      0.2961      0.1417      0.1247       2.963       7.183       7.327              </t>
  </si>
  <si>
    <t xml:space="preserve">        50.5        0.29      0.3532      0.1399      0.1161       2.759       6.687       7.232              </t>
  </si>
  <si>
    <t xml:space="preserve">        56.1        0.33      0.4162      0.1375      0.1076       2.556       6.196       7.107              </t>
  </si>
  <si>
    <t xml:space="preserve">        61.7        0.36      0.4818      0.1337      0.0994       2.362       5.726       6.913              </t>
  </si>
  <si>
    <t xml:space="preserve">        67.4        0.39      0.5476      0.1287      0.0919       2.183       5.291       6.655              </t>
  </si>
  <si>
    <t xml:space="preserve">        73.0        0.42      0.6032      0.1230      0.0864       2.052       4.975       6.362              </t>
  </si>
  <si>
    <t xml:space="preserve">        78.6        0.46      0.6493      0.1168      0.0820       1.949       4.725       6.039              </t>
  </si>
  <si>
    <t xml:space="preserve">        84.2        0.49      0.6874      0.1101      0.0783       1.860       4.508       5.693              </t>
  </si>
  <si>
    <t xml:space="preserve">        89.8        0.52      0.7188      0.1032      0.0748       1.777       4.308       5.334              </t>
  </si>
  <si>
    <t xml:space="preserve">        95.4        0.55      0.7455      0.0962      0.0715       1.698       4.116       4.975              </t>
  </si>
  <si>
    <t xml:space="preserve">       101.0        0.59      0.7696      0.0892      0.0679       1.614       3.913       4.612              </t>
  </si>
  <si>
    <t xml:space="preserve">       106.7        0.62      0.7918      0.0820      0.0641       1.523       3.691       4.239              </t>
  </si>
  <si>
    <t xml:space="preserve">       112.3        0.65      0.8119      0.0746      0.0598       1.422       3.447       3.857              </t>
  </si>
  <si>
    <t xml:space="preserve">       117.9        0.68      0.8299      0.0670      0.0553       1.313       3.183       3.466              </t>
  </si>
  <si>
    <t xml:space="preserve">       123.5        0.72      0.8455      0.0593      0.0503       1.194       2.895       3.067              </t>
  </si>
  <si>
    <t xml:space="preserve">       129.1        0.75      0.8567      0.0514      0.0449       1.068       2.589       2.658              </t>
  </si>
  <si>
    <t xml:space="preserve">       134.7        0.78      0.8635      0.0433      0.0392       0.932       2.260       2.241              </t>
  </si>
  <si>
    <t xml:space="preserve">       140.3        0.81      0.8641      0.0351      0.0331       0.786       1.906       1.816              </t>
  </si>
  <si>
    <t xml:space="preserve">       145.9        0.85      0.8502      0.0267      0.0266       0.633       1.534       1.382              </t>
  </si>
  <si>
    <t xml:space="preserve">       151.6        0.88      0.8067      0.0181      0.0197       0.469       1.137       0.936              </t>
  </si>
  <si>
    <t xml:space="preserve">       157.2        0.91      0.6800      0.0092      0.0123       0.293       0.709       0.475              </t>
  </si>
  <si>
    <t xml:space="preserve">       162.8        0.94     -0.0022      0.0000      0.0052       0.124       0.300      -0.001              </t>
  </si>
  <si>
    <t xml:space="preserve">         PROP RPM =      26999                                                                                </t>
  </si>
  <si>
    <t xml:space="preserve">         0.0        0.00      0.0000      0.1506      0.2473       6.580      15.360       8.397              </t>
  </si>
  <si>
    <t xml:space="preserve">         5.8        0.03      0.0207      0.1504      0.2358       6.276      14.649       8.386              </t>
  </si>
  <si>
    <t xml:space="preserve">        11.6        0.07      0.0436      0.1501      0.2239       5.958      13.908       8.369              </t>
  </si>
  <si>
    <t xml:space="preserve">        17.5        0.10      0.0689      0.1497      0.2121       5.644      13.176       8.347              </t>
  </si>
  <si>
    <t xml:space="preserve">        23.3        0.13      0.0972      0.1492      0.1996       5.313      12.402       8.317              </t>
  </si>
  <si>
    <t xml:space="preserve">        29.1        0.16      0.1292      0.1485      0.1868       4.971      11.604       8.280              </t>
  </si>
  <si>
    <t xml:space="preserve">        34.9        0.20      0.1656      0.1477      0.1740       4.630      10.807       8.235              </t>
  </si>
  <si>
    <t xml:space="preserve">        40.7        0.23      0.2083      0.1467      0.1603       4.265       9.956       8.179              </t>
  </si>
  <si>
    <t xml:space="preserve">        46.6        0.26-NaN        -NaN        -NaN        -NaN        -NaN        -NaN                      </t>
  </si>
  <si>
    <t xml:space="preserve">        52.4        0.29      0.3149      0.1440      0.1339       3.562       8.315       8.032              </t>
  </si>
  <si>
    <t xml:space="preserve">        58.2        0.33      0.3815      0.1420      0.1210       3.221       7.519       7.918              </t>
  </si>
  <si>
    <t xml:space="preserve">        64.0        0.36      0.4546      0.1387      0.1091       2.904       6.780       7.735              </t>
  </si>
  <si>
    <t xml:space="preserve">        69.8        0.39      0.5262      0.1332      0.0988       2.629       6.138       7.429              </t>
  </si>
  <si>
    <t xml:space="preserve">        75.7        0.42      0.5900      0.1265      0.0907       2.413       5.632       7.056              </t>
  </si>
  <si>
    <t xml:space="preserve">        81.5        0.46      0.6397      0.1200      0.0854       2.272       5.305       6.691              </t>
  </si>
  <si>
    <t xml:space="preserve">        87.3        0.49      0.6828      0.1123      0.0802       2.134       4.982       6.261              </t>
  </si>
  <si>
    <t xml:space="preserve">        93.1        0.52      0.7156      0.1054      0.0766       2.039       4.760       5.877              </t>
  </si>
  <si>
    <t xml:space="preserve">        98.9        0.55      0.7428      0.0983      0.0732       1.947       4.545       5.482              </t>
  </si>
  <si>
    <t xml:space="preserve">       104.8        0.59      0.7673      0.0912      0.0696       1.851       4.320       5.084              </t>
  </si>
  <si>
    <t xml:space="preserve">       110.6        0.62      0.7899      0.0838      0.0656       1.745       4.072       4.673              </t>
  </si>
  <si>
    <t xml:space="preserve">       116.4        0.65      0.8107      0.0763      0.0612       1.628       3.800       4.252              </t>
  </si>
  <si>
    <t xml:space="preserve">       122.2        0.68      0.8294      0.0685      0.0564       1.502       3.506       3.822              </t>
  </si>
  <si>
    <t xml:space="preserve">       128.0        0.72      0.8451      0.0607      0.0514       1.367       3.191       3.384              </t>
  </si>
  <si>
    <t xml:space="preserve">       133.9        0.75      0.8563      0.0526      0.0460       1.224       2.856       2.935              </t>
  </si>
  <si>
    <t xml:space="preserve">       139.7        0.78      0.8626      0.0445      0.0402       1.071       2.500       2.481              </t>
  </si>
  <si>
    <t xml:space="preserve">       145.5        0.81      0.8628      0.0361      0.0340       0.905       2.111       2.011              </t>
  </si>
  <si>
    <t xml:space="preserve">       151.3        0.85      0.8473      0.0275      0.0274       0.729       1.703       1.532              </t>
  </si>
  <si>
    <t xml:space="preserve">       157.1        0.88      0.8002      0.0186      0.0204       0.543       1.268       1.037              </t>
  </si>
  <si>
    <t xml:space="preserve">       163.0        0.91      0.6650      0.0094      0.0129       0.342       0.799       0.524              </t>
  </si>
  <si>
    <t xml:space="preserve">       168.8        0.94     -0.0035      0.0000      0.0057       0.152       0.354      -0.001              </t>
  </si>
  <si>
    <t xml:space="preserve">         PROP RPM =      28000                                                                                </t>
  </si>
  <si>
    <t xml:space="preserve">         0.0        0.00      0.0000      0.1558      0.3350       9.941      22.377       9.344              </t>
  </si>
  <si>
    <t xml:space="preserve">         6.0        0.03      0.0158      0.1555      0.3185       9.452      21.276       9.327              </t>
  </si>
  <si>
    <t xml:space="preserve">        12.0        0.06      0.0334      0.1551      0.3015       8.949      20.142       9.303              </t>
  </si>
  <si>
    <t xml:space="preserve">        18.1        0.10      0.0530      0.1546      0.2838       8.422      18.957       9.269              </t>
  </si>
  <si>
    <t xml:space="preserve">        24.1        0.13      0.0752      0.1539      0.2656       7.884      17.745       9.226              </t>
  </si>
  <si>
    <t xml:space="preserve">        30.1        0.16      0.1006      0.1530      0.2468       7.324      16.486       9.172              </t>
  </si>
  <si>
    <t xml:space="preserve">        36.1        0.19      0.1300      0.1519      0.2275       6.752      15.197       9.107              </t>
  </si>
  <si>
    <t xml:space="preserve">        42.2        0.23      0.1645      0.1506      0.2080       6.172      13.893       9.029              </t>
  </si>
  <si>
    <t xml:space="preserve">        48.2        0.26      0.2055      0.1491      0.1884       5.591      12.585       8.940              </t>
  </si>
  <si>
    <t xml:space="preserve">        54.2        0.29      0.2549      0.1474      0.1689       5.012      11.281       8.837              </t>
  </si>
  <si>
    <t xml:space="preserve">        60.2        0.32      0.3138      0.1455      0.1505       4.465      10.051       8.725              </t>
  </si>
  <si>
    <t xml:space="preserve">        66.3        0.36      0.3888      0.1434      0.1316       3.906       8.793       8.597              </t>
  </si>
  <si>
    <t xml:space="preserve">        72.3        0.39      0.4768      0.1393      0.1137       3.376       7.599       8.351              </t>
  </si>
  <si>
    <t xml:space="preserve">        78.3        0.42      0.5654      0.1328      0.0991       2.941       6.621       7.965              </t>
  </si>
  <si>
    <t xml:space="preserve">        84.3        0.45      0.6200      0.1258      0.0922       2.736       6.158       7.543              </t>
  </si>
  <si>
    <t xml:space="preserve">        90.3        0.49      0.6630      0.1181      0.0867       2.573       5.792       7.081              </t>
  </si>
  <si>
    <t xml:space="preserve">        96.4        0.52-NaN        -NaN        -NaN        -NaN        -NaN        -NaN                      </t>
  </si>
  <si>
    <t xml:space="preserve">       102.4        0.55      0.7274      0.1027      0.0779       2.311       5.202       6.156              </t>
  </si>
  <si>
    <t xml:space="preserve">       108.4        0.58-NaN        -NaN        -NaN        -NaN        -NaN        -NaN                      </t>
  </si>
  <si>
    <t xml:space="preserve">       114.4        0.62      0.7810      0.0869      0.0686       2.036       4.582       5.210              </t>
  </si>
  <si>
    <t xml:space="preserve">       120.5        0.65      0.8058      0.0786      0.0633       1.880       4.232       4.716              </t>
  </si>
  <si>
    <t xml:space="preserve">       126.5        0.68      0.8271      0.0705      0.0581       1.725       3.883       4.230              </t>
  </si>
  <si>
    <t xml:space="preserve">       132.5        0.71      0.8425      0.0626      0.0530       1.574       3.543       3.752              </t>
  </si>
  <si>
    <t xml:space="preserve">       138.5        0.75      0.8534      0.0543      0.0475       1.410       3.174       3.258              </t>
  </si>
  <si>
    <t xml:space="preserve">       144.6        0.78      0.8590      0.0459      0.0416       1.235       2.780       2.753              </t>
  </si>
  <si>
    <t xml:space="preserve">       150.6        0.81      0.8581      0.0372      0.0352       1.045       2.351       2.232              </t>
  </si>
  <si>
    <t xml:space="preserve">       156.6        0.84      0.8399      0.0283      0.0284       0.844       1.900       1.698              </t>
  </si>
  <si>
    <t xml:space="preserve">       162.6        0.88      0.7871      0.0191      0.0213       0.631       1.421       1.146              </t>
  </si>
  <si>
    <t xml:space="preserve">       168.6        0.91      0.6396      0.0095      0.0135       0.401       0.903       0.571              </t>
  </si>
  <si>
    <t xml:space="preserve">       174.7        0.94     -0.0014      0.0000      0.0063       0.188       0.423      -0.001              </t>
  </si>
  <si>
    <t xml:space="preserve">         PROP RPM =      29000                                                                                </t>
  </si>
  <si>
    <t xml:space="preserve">         0.0        0.00      0.0000      0.1552      0.3053      10.066      21.876       9.983              </t>
  </si>
  <si>
    <t xml:space="preserve">         6.2        0.03      0.0170      0.1552      0.2945       9.711      21.105       9.981              </t>
  </si>
  <si>
    <t xml:space="preserve">        12.4        0.06      0.0353      0.1551      0.2840       9.365      20.353       9.976              </t>
  </si>
  <si>
    <t xml:space="preserve">        18.6        0.10      0.0549      0.1550      0.2738       9.029      19.622       9.967              </t>
  </si>
  <si>
    <t xml:space="preserve">        24.9        0.13      0.0760      0.1547      0.2632       8.680      18.863       9.950              </t>
  </si>
  <si>
    <t xml:space="preserve">        31.1        0.16      0.0977      0.1545      0.2555       8.425      18.310       9.939              </t>
  </si>
  <si>
    <t xml:space="preserve">        37.3        0.19      0.1205      0.1542      0.2481       8.182      17.782       9.921              </t>
  </si>
  <si>
    <t xml:space="preserve">        43.5        0.23      0.1468      0.1536      0.2366       7.803      16.959       9.877              </t>
  </si>
  <si>
    <t xml:space="preserve">        49.7        0.26      0.1774      0.1525      0.2222       7.326      15.922       9.807              </t>
  </si>
  <si>
    <t xml:space="preserve">        55.9        0.29      0.2102      0.1513      0.2094       6.905      15.006       9.731              </t>
  </si>
  <si>
    <t xml:space="preserve">        62.1        0.32      0.2554      0.1492      0.1888       6.227      13.533       9.598              </t>
  </si>
  <si>
    <t xml:space="preserve">        68.3        0.36      0.3090      0.1469      0.1690       5.573      12.111       9.449              </t>
  </si>
  <si>
    <t xml:space="preserve">        74.6        0.39      0.3791      0.1437      0.1471       4.849      10.538       9.246              </t>
  </si>
  <si>
    <t xml:space="preserve">        80.8        0.42      0.4667      0.1384      0.1246       4.107       8.926       8.900              </t>
  </si>
  <si>
    <t xml:space="preserve">        87.0        0.45-NaN        -NaN        -NaN        -NaN        -NaN        -NaN                      </t>
  </si>
  <si>
    <t xml:space="preserve">        93.2        0.48      0.6448      0.1230      0.0925       3.050       6.628       7.914              </t>
  </si>
  <si>
    <t xml:space="preserve">        99.4        0.52      0.6793      0.1154      0.0879       2.898       6.298       7.426              </t>
  </si>
  <si>
    <t xml:space="preserve">       105.6        0.55      0.7068      0.1082      0.0841       2.773       6.027       6.959              </t>
  </si>
  <si>
    <t xml:space="preserve">       111.8        0.58-NaN        -NaN        -NaN        -NaN        -NaN        -NaN                      </t>
  </si>
  <si>
    <t xml:space="preserve">       118.1        0.61      0.7571      0.0913      0.0740       2.441       5.306       5.872              </t>
  </si>
  <si>
    <t xml:space="preserve">       124.3        0.65      0.7836      0.0824      0.0680       2.242       4.872       5.301              </t>
  </si>
  <si>
    <t xml:space="preserve">       130.5        0.68-NaN        -NaN        -NaN        -NaN        -NaN        -NaN                      </t>
  </si>
  <si>
    <t xml:space="preserve">       136.7        0.71-NaN        -NaN        -NaN        -NaN        -NaN        -NaN                      </t>
  </si>
  <si>
    <t xml:space="preserve">       142.9        0.74      0.8300      0.0580      0.0520       1.714       3.724       3.732              </t>
  </si>
  <si>
    <t xml:space="preserve">       149.1        0.78-NaN        -NaN        -NaN        -NaN        -NaN        -NaN                      </t>
  </si>
  <si>
    <t xml:space="preserve">       155.3        0.81      0.8415      0.0394      0.0378       1.247       2.710       2.534              </t>
  </si>
  <si>
    <t xml:space="preserve">       161.5        0.84      0.8269      0.0299      0.0304       1.002       2.178       1.924              </t>
  </si>
  <si>
    <t xml:space="preserve">       167.8        0.87      0.7826      0.0205      0.0228       0.753       1.637       1.318              </t>
  </si>
  <si>
    <t xml:space="preserve">       174.0        0.90      0.6434      0.0105      0.0148       0.488       1.060       0.676              </t>
  </si>
  <si>
    <t xml:space="preserve">       180.2        0.94      0.0381      0.0003      0.0073       0.241       0.525       0.019              </t>
  </si>
  <si>
    <t xml:space="preserve">         PROP RPM =      33000                                                                                </t>
  </si>
  <si>
    <t xml:space="preserve">         0.0        0.00      0.0000      0.1501      0.2271      11.034      21.073      12.499              </t>
  </si>
  <si>
    <t xml:space="preserve">         7.0        0.03      0.0218      0.1498      0.2214      10.755      20.541      12.480              </t>
  </si>
  <si>
    <t xml:space="preserve">        14.1        0.06      0.0447      0.1495      0.2153      10.462      19.980      12.450              </t>
  </si>
  <si>
    <t xml:space="preserve">        21.1        0.10      0.0688      0.1490      0.2089      10.150      19.385      12.412              </t>
  </si>
  <si>
    <t xml:space="preserve">        28.1        0.13      0.0942      0.1484      0.2026       9.843      18.798      12.362              </t>
  </si>
  <si>
    <t xml:space="preserve">        35.2        0.16      0.1216      0.1476      0.1952       9.486      18.116      12.297              </t>
  </si>
  <si>
    <t xml:space="preserve">        42.2        0.19      0.1503      0.1467      0.1882       9.145      17.466      12.216              </t>
  </si>
  <si>
    <t xml:space="preserve">        49.2        0.23      0.1801      0.1457      0.1821       8.848      16.899      12.133              </t>
  </si>
  <si>
    <t xml:space="preserve">        56.3        0.26      0.2123      0.1443      0.1749       8.499      16.231      12.022              </t>
  </si>
  <si>
    <t xml:space="preserve">        63.3        0.29      0.2497      0.1426      0.1653       8.031      15.339      11.880              </t>
  </si>
  <si>
    <t xml:space="preserve">        70.3        0.32      0.2881      0.1408      0.1572       7.640      14.591      11.731              </t>
  </si>
  <si>
    <t xml:space="preserve">        77.4        0.35      0.3293      0.1388      0.1491       7.247      13.840      11.565              </t>
  </si>
  <si>
    <t xml:space="preserve">        84.4        0.39      0.3744      0.1365      0.1407       6.837      13.059      11.372              </t>
  </si>
  <si>
    <t xml:space="preserve">        91.5        0.42      0.4235      0.1340      0.1323       6.427      12.274      11.160              </t>
  </si>
  <si>
    <t xml:space="preserve">        98.5        0.45      0.4765      0.1308      0.1236       6.005      11.469      10.895              </t>
  </si>
  <si>
    <t xml:space="preserve">       105.5        0.48      0.5331      0.1253      0.1133       5.506      10.517      10.433              </t>
  </si>
  <si>
    <t xml:space="preserve">       112.6        0.51      0.5706      0.1196      0.1078       5.239      10.006       9.961              </t>
  </si>
  <si>
    <t xml:space="preserve">       119.6        0.55      0.6047      0.1136      0.1027       4.990       9.530       9.462              </t>
  </si>
  <si>
    <t xml:space="preserve">       126.6        0.58      0.6591      0.1065      0.0936       4.546       8.681       8.872              </t>
  </si>
  <si>
    <t xml:space="preserve">       133.7        0.61      0.6941      0.0976      0.0859       4.174       7.972       8.129              </t>
  </si>
  <si>
    <t xml:space="preserve">       140.7        0.64      0.7144      0.0886      0.0797       3.874       7.399       7.377              </t>
  </si>
  <si>
    <t xml:space="preserve">       147.7        0.68      0.7318      0.0792      0.0731       3.551       6.782       6.597              </t>
  </si>
  <si>
    <t xml:space="preserve">       154.8        0.71      0.7464      0.0697      0.0661       3.212       6.135       5.810              </t>
  </si>
  <si>
    <t xml:space="preserve">       161.8        0.74      0.7548      0.0604      0.0592       2.877       5.495       5.033              </t>
  </si>
  <si>
    <t xml:space="preserve">       168.8        0.77      0.7477      0.0515      0.0532       2.585       4.937       4.293              </t>
  </si>
  <si>
    <t xml:space="preserve">       175.9        0.80      0.7281      0.0423      0.0468       2.272       4.338       3.526              </t>
  </si>
  <si>
    <t xml:space="preserve">       182.9        0.84      0.6895      0.0327      0.0397       1.929       3.685       2.727              </t>
  </si>
  <si>
    <t xml:space="preserve">       189.9        0.87-NaN        -NaN        -NaN        -NaN        -NaN        -NaN                      </t>
  </si>
  <si>
    <t xml:space="preserve">       197.0        0.90      0.4493      0.0112      0.0225       1.094       2.089       0.936              </t>
  </si>
  <si>
    <t xml:space="preserve">       204.0        0.93     -0.0624     -0.0008      0.0123       0.598       1.141      -0.069              </t>
  </si>
  <si>
    <t xml:space="preserve">         PROP RPM =      35000                                                                                </t>
  </si>
  <si>
    <t xml:space="preserve">         0.0        0.00      0.0000      0.1532      0.2876      16.674      30.025      14.350              </t>
  </si>
  <si>
    <t xml:space="preserve">         7.4        0.03      0.0175      0.1528      0.2788      16.161      29.101      14.320              </t>
  </si>
  <si>
    <t xml:space="preserve">        14.8        0.06      0.0362      0.1522      0.2676      15.510      27.929      14.261              </t>
  </si>
  <si>
    <t xml:space="preserve">        22.2        0.10      0.0562      0.1516      0.2579      14.952      26.924      14.202              </t>
  </si>
  <si>
    <t xml:space="preserve">        29.6        0.13      0.0778      0.1506      0.2466      14.294      25.739      14.106              </t>
  </si>
  <si>
    <t xml:space="preserve">        37.0        0.16      0.1018      0.1491      0.2334      13.530      24.364      13.974              </t>
  </si>
  <si>
    <t xml:space="preserve">        44.3        0.19      0.1277      0.1476      0.2209      12.803      23.055      13.825              </t>
  </si>
  <si>
    <t xml:space="preserve">        51.7        0.22      0.1565      0.1456      0.2075      12.029      21.662      13.643              </t>
  </si>
  <si>
    <t xml:space="preserve">        59.1        0.25      0.1883      0.1434      0.1941      11.249      20.257      13.437              </t>
  </si>
  <si>
    <t xml:space="preserve">        66.5        0.29      0.2237      0.1409      0.1806      10.469      18.852      13.201              </t>
  </si>
  <si>
    <t xml:space="preserve">        73.9        0.32      0.2639      0.1380      0.1666       9.657      17.390      12.932              </t>
  </si>
  <si>
    <t xml:space="preserve">        81.3        0.35      0.3086      0.1350      0.1533       8.887      16.004      12.649              </t>
  </si>
  <si>
    <t xml:space="preserve">        88.7        0.38      0.3587      0.1317      0.1403       8.135      14.649      12.339              </t>
  </si>
  <si>
    <t xml:space="preserve">        96.1        0.41      0.4147      0.1282      0.1280       7.420      13.362      12.011              </t>
  </si>
  <si>
    <t xml:space="preserve">       103.5        0.45      0.4778      0.1250      0.1167       6.765      12.181      11.714              </t>
  </si>
  <si>
    <t xml:space="preserve">       110.9        0.48      0.5352      0.1200      0.1071       6.209      11.181      11.242              </t>
  </si>
  <si>
    <t xml:space="preserve">       118.3        0.51      0.5850      0.1143      0.0996       5.774      10.397      10.711              </t>
  </si>
  <si>
    <t xml:space="preserve">       125.6        0.54-NaN        -NaN        -NaN        -NaN        -NaN        -NaN                      </t>
  </si>
  <si>
    <t xml:space="preserve">       133.0        0.57-NaN        -NaN        -NaN        -NaN        -NaN        -NaN                      </t>
  </si>
  <si>
    <t xml:space="preserve">       140.4        0.61      0.6720      0.0913      0.0822       4.765       8.580       8.551              </t>
  </si>
  <si>
    <t xml:space="preserve">       147.8        0.64      0.6873      0.0835      0.0774       4.489       8.084       7.827              </t>
  </si>
  <si>
    <t xml:space="preserve">       155.2        0.67      0.6990      0.0756      0.0723       4.194       7.552       7.083              </t>
  </si>
  <si>
    <t xml:space="preserve">       162.6        0.70      0.7123      0.0697      0.0685       3.973       7.154       6.526              </t>
  </si>
  <si>
    <t xml:space="preserve">       170.0        0.73      0.7055      0.0590      0.0613       3.551       6.394       5.527              </t>
  </si>
  <si>
    <t xml:space="preserve">       177.4        0.76      0.7008      0.0506      0.0552       3.198       5.759       4.738              </t>
  </si>
  <si>
    <t xml:space="preserve">       184.8        0.80      0.6758      0.0413      0.0487       2.823       5.083       3.871              </t>
  </si>
  <si>
    <t xml:space="preserve">       192.2        0.83-NaN        -NaN        -NaN        -NaN        -NaN        -NaN                      </t>
  </si>
  <si>
    <t xml:space="preserve">       199.6        0.86-NaN        -NaN        -NaN        -NaN        -NaN        -NaN                      </t>
  </si>
  <si>
    <t xml:space="preserve">       206.9        0.89-NaN        -NaN        -NaN        -NaN        -NaN        -NaN                      </t>
  </si>
  <si>
    <t xml:space="preserve">       214.3        0.92     -0.0336     -0.0005      0.0147       0.849       1.530      -0.050              </t>
  </si>
  <si>
    <t>(Adv</t>
  </si>
  <si>
    <t>Ratio)</t>
  </si>
  <si>
    <t xml:space="preserve"> 1000</t>
  </si>
  <si>
    <t xml:space="preserve"> 2000</t>
  </si>
  <si>
    <t xml:space="preserve"> 3000</t>
  </si>
  <si>
    <t xml:space="preserve"> 4000</t>
  </si>
  <si>
    <t xml:space="preserve"> 5000</t>
  </si>
  <si>
    <t xml:space="preserve"> 6000</t>
  </si>
  <si>
    <t xml:space="preserve"> 7000</t>
  </si>
  <si>
    <t xml:space="preserve"> 8000</t>
  </si>
  <si>
    <t xml:space="preserve"> 9000</t>
  </si>
  <si>
    <t xml:space="preserve"> 10000</t>
  </si>
  <si>
    <t xml:space="preserve"> 11000</t>
  </si>
  <si>
    <t xml:space="preserve"> 12000</t>
  </si>
  <si>
    <t xml:space="preserve"> 13000</t>
  </si>
  <si>
    <t xml:space="preserve"> 13999</t>
  </si>
  <si>
    <t xml:space="preserve"> 15000</t>
  </si>
  <si>
    <t xml:space="preserve"> 16000</t>
  </si>
  <si>
    <r>
      <t>y = 0.137x</t>
    </r>
    <r>
      <rPr>
        <vertAlign val="super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- 0.1817x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- 0.1056x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+ 0.0091x + 0.1316</t>
    </r>
  </si>
  <si>
    <r>
      <t>y = 0.0724x</t>
    </r>
    <r>
      <rPr>
        <vertAlign val="super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- 0.2073x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+ 0.0267x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+ 0.0368x + 0.0658</t>
    </r>
  </si>
  <si>
    <r>
      <t>y = 0.0128x</t>
    </r>
    <r>
      <rPr>
        <vertAlign val="super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- 0.0351x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+ 0.0046x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+ 0.0063x + 0.0104</t>
    </r>
  </si>
  <si>
    <t>total drag</t>
  </si>
  <si>
    <t>True drag</t>
  </si>
  <si>
    <t>Scorpion</t>
  </si>
  <si>
    <t>S11-2215-900</t>
  </si>
  <si>
    <t>delta</t>
  </si>
  <si>
    <t>Motor Kv</t>
  </si>
  <si>
    <t>rpm/v</t>
  </si>
  <si>
    <t>copy and paste on R column and covert values into array by text to columns</t>
  </si>
  <si>
    <t>total efficiency</t>
  </si>
  <si>
    <t>Battery power all efficiencies include</t>
  </si>
  <si>
    <t>I amps</t>
  </si>
  <si>
    <t>capacity</t>
  </si>
  <si>
    <t>mah</t>
  </si>
  <si>
    <t>volts</t>
  </si>
  <si>
    <t>delta velocity</t>
  </si>
  <si>
    <t>max battery voltage</t>
  </si>
  <si>
    <t>applied voltage</t>
  </si>
  <si>
    <t>millamp</t>
  </si>
  <si>
    <t>flight time hrs</t>
  </si>
  <si>
    <t>min</t>
  </si>
  <si>
    <t>Comodity</t>
  </si>
  <si>
    <t>=</t>
  </si>
  <si>
    <t>m</t>
  </si>
  <si>
    <t>wing t</t>
  </si>
  <si>
    <t>fuselage top thickness</t>
  </si>
  <si>
    <t>Pink foam properties</t>
  </si>
  <si>
    <t>Tension</t>
  </si>
  <si>
    <t>Young's Modulus (Psi) :</t>
  </si>
  <si>
    <t>Peak Load (lb) :</t>
  </si>
  <si>
    <t>Peak Stress (Psi):</t>
  </si>
  <si>
    <t>Yeild Stress (Psi) :</t>
  </si>
  <si>
    <t>Compression</t>
  </si>
  <si>
    <t>Compression Modulus (Psi) :</t>
  </si>
  <si>
    <t>Chord</t>
  </si>
  <si>
    <t>SD7062</t>
  </si>
  <si>
    <t>Result:</t>
  </si>
  <si>
    <t>x</t>
  </si>
  <si>
    <t>y</t>
  </si>
  <si>
    <t>Upper</t>
  </si>
  <si>
    <t>Lower</t>
  </si>
  <si>
    <t>FUSELAGE</t>
  </si>
  <si>
    <t>WING</t>
  </si>
  <si>
    <t>HSTAB</t>
  </si>
  <si>
    <t>VSTAB</t>
  </si>
  <si>
    <t>Battery</t>
  </si>
  <si>
    <t>insert here -&gt;</t>
  </si>
  <si>
    <t>cm</t>
  </si>
  <si>
    <t>#ribs</t>
  </si>
  <si>
    <t># Ribs</t>
  </si>
  <si>
    <t>L=</t>
  </si>
  <si>
    <t>Iyy=</t>
  </si>
  <si>
    <t>Min</t>
  </si>
  <si>
    <t>Max</t>
  </si>
  <si>
    <t>Pcr=</t>
  </si>
  <si>
    <t>Buckling</t>
  </si>
  <si>
    <t>Percent Loading (Compression)</t>
  </si>
  <si>
    <t>Percent Loading (Tension)</t>
  </si>
  <si>
    <t>Sigma xx</t>
  </si>
  <si>
    <t>Iyz*</t>
  </si>
  <si>
    <t>Itilda*</t>
  </si>
  <si>
    <t>Izz*</t>
  </si>
  <si>
    <t>Iyy*</t>
  </si>
  <si>
    <t>Ei/Er</t>
  </si>
  <si>
    <t>z</t>
  </si>
  <si>
    <t>`</t>
  </si>
  <si>
    <t>x=</t>
  </si>
  <si>
    <t>Iyystar/(ER*Itildastar)</t>
  </si>
  <si>
    <r>
      <t>ystarbar=[</t>
    </r>
    <r>
      <rPr>
        <sz val="11"/>
        <color theme="1"/>
        <rFont val="Symbol"/>
        <family val="1"/>
        <charset val="2"/>
      </rPr>
      <t>S</t>
    </r>
    <r>
      <rPr>
        <sz val="11"/>
        <color theme="1"/>
        <rFont val="Calibri"/>
        <family val="2"/>
      </rPr>
      <t>(Astari*ybar'i)/</t>
    </r>
    <r>
      <rPr>
        <sz val="11"/>
        <color theme="1"/>
        <rFont val="Symbol"/>
        <family val="1"/>
        <charset val="2"/>
      </rPr>
      <t>S</t>
    </r>
    <r>
      <rPr>
        <sz val="11"/>
        <color theme="1"/>
        <rFont val="Calibri"/>
        <family val="2"/>
      </rPr>
      <t>(Astari)]=</t>
    </r>
  </si>
  <si>
    <t>Itildastar</t>
  </si>
  <si>
    <r>
      <t>zstarbar=[</t>
    </r>
    <r>
      <rPr>
        <sz val="11"/>
        <color theme="1"/>
        <rFont val="Symbol"/>
        <family val="1"/>
        <charset val="2"/>
      </rPr>
      <t>S</t>
    </r>
    <r>
      <rPr>
        <sz val="11"/>
        <color theme="1"/>
        <rFont val="Calibri"/>
        <family val="2"/>
      </rPr>
      <t>(Astari*zbar'i)/</t>
    </r>
    <r>
      <rPr>
        <sz val="11"/>
        <color theme="1"/>
        <rFont val="Symbol"/>
        <family val="1"/>
        <charset val="2"/>
      </rPr>
      <t>S</t>
    </r>
    <r>
      <rPr>
        <sz val="11"/>
        <color theme="1"/>
        <rFont val="Calibri"/>
        <family val="2"/>
      </rPr>
      <t>(Astari)]=</t>
    </r>
  </si>
  <si>
    <t>Iyzstar</t>
  </si>
  <si>
    <t>Iyystar</t>
  </si>
  <si>
    <t>Izzstar</t>
  </si>
  <si>
    <t>S</t>
  </si>
  <si>
    <t xml:space="preserve">I v </t>
  </si>
  <si>
    <t>I u</t>
  </si>
  <si>
    <t>Istaryzi</t>
  </si>
  <si>
    <t>Istaryyi</t>
  </si>
  <si>
    <t>Istarzzi</t>
  </si>
  <si>
    <t>Ai*zstarbari*ystarbari</t>
  </si>
  <si>
    <t>Ai*ystarbari^2</t>
  </si>
  <si>
    <t>Ai*zstarbari^2</t>
  </si>
  <si>
    <t>ystarbari</t>
  </si>
  <si>
    <t>zstarbari</t>
  </si>
  <si>
    <t>ystarbar</t>
  </si>
  <si>
    <t>zstarbar</t>
  </si>
  <si>
    <t>Iyzi0</t>
  </si>
  <si>
    <t>Iyyi0</t>
  </si>
  <si>
    <t>Izzi0</t>
  </si>
  <si>
    <t>Astari*ybar'i</t>
  </si>
  <si>
    <t>Astari*zbar'i</t>
  </si>
  <si>
    <t>Astari</t>
  </si>
  <si>
    <t>Ai</t>
  </si>
  <si>
    <t>ybar'i</t>
  </si>
  <si>
    <t>zbar'i</t>
  </si>
  <si>
    <t>Ei/ER</t>
  </si>
  <si>
    <t>ER</t>
  </si>
  <si>
    <t>Ei</t>
  </si>
  <si>
    <t>i</t>
  </si>
  <si>
    <t># of ribs</t>
  </si>
  <si>
    <t xml:space="preserve">#of ribs </t>
  </si>
  <si>
    <t>wing to fuse attachment</t>
  </si>
  <si>
    <t>wings</t>
  </si>
  <si>
    <t>Iyoyo</t>
  </si>
  <si>
    <t>Pcritical (lbs)</t>
  </si>
  <si>
    <t>sigma min (lbs/in^2)</t>
  </si>
  <si>
    <t xml:space="preserve">Buckling Analysis </t>
  </si>
  <si>
    <t>sigma xx (psi)</t>
  </si>
  <si>
    <t>w(x)</t>
  </si>
  <si>
    <t xml:space="preserve">v(x) (inches) </t>
  </si>
  <si>
    <t>u(x)</t>
  </si>
  <si>
    <t>My(x) lb*in</t>
  </si>
  <si>
    <t>Mz(x) lb*in</t>
  </si>
  <si>
    <t>Mx(x) lb*in</t>
  </si>
  <si>
    <t>Vz(x)</t>
  </si>
  <si>
    <t>Vy(x)</t>
  </si>
  <si>
    <t>x in</t>
  </si>
  <si>
    <t>Displacements</t>
  </si>
  <si>
    <t>v(o)</t>
  </si>
  <si>
    <t>lb*in</t>
  </si>
  <si>
    <t>total</t>
  </si>
  <si>
    <t>C</t>
  </si>
  <si>
    <t>lb/ft</t>
  </si>
  <si>
    <t>A</t>
  </si>
  <si>
    <t>total area</t>
  </si>
  <si>
    <t>B</t>
  </si>
  <si>
    <t>in^8</t>
  </si>
  <si>
    <t>E*(Iyy*Izz-Iyz^2)</t>
  </si>
  <si>
    <t>(Iyy* x Izz*-Iyz*^2)</t>
  </si>
  <si>
    <t>Position of AC in Y</t>
  </si>
  <si>
    <t>25%c posiotion of AC in Z</t>
  </si>
  <si>
    <t>Ybar' (in)</t>
  </si>
  <si>
    <t>Zbar' (in)</t>
  </si>
  <si>
    <t>cubic feet</t>
  </si>
  <si>
    <t>total wing volume</t>
  </si>
  <si>
    <t>cubic inches</t>
  </si>
  <si>
    <t>BOTTOM SURFACE ARC LENGTH</t>
  </si>
  <si>
    <t>TOP SURFACE ARC LENGTH</t>
  </si>
  <si>
    <t>Total Wing Weight:</t>
  </si>
  <si>
    <t>skins</t>
  </si>
  <si>
    <t>ribs</t>
  </si>
  <si>
    <t>lbs</t>
  </si>
  <si>
    <t xml:space="preserve">Components Weight </t>
  </si>
  <si>
    <t>Shear Modules</t>
  </si>
  <si>
    <t>thickness (in)</t>
  </si>
  <si>
    <t>spar height( in)</t>
  </si>
  <si>
    <t>spar length (in)</t>
  </si>
  <si>
    <t>Poisson Ratio</t>
  </si>
  <si>
    <t>Front Spar</t>
  </si>
  <si>
    <t xml:space="preserve">specimen 10 modules and yield strenght Most conservative youngs modules </t>
  </si>
  <si>
    <t xml:space="preserve">Yeild Stress </t>
  </si>
  <si>
    <t xml:space="preserve">total wing weight </t>
  </si>
  <si>
    <t>Psi</t>
  </si>
  <si>
    <t>Youngs Modules</t>
  </si>
  <si>
    <t>Wood</t>
  </si>
  <si>
    <t>rib thickness</t>
  </si>
  <si>
    <t xml:space="preserve">skin thickness </t>
  </si>
  <si>
    <t>in^2</t>
  </si>
  <si>
    <t xml:space="preserve">Wetted wing area </t>
  </si>
  <si>
    <t>http://www.cstsales.com/Carbon_Fiber_Tubes.html</t>
  </si>
  <si>
    <t>lbs/ft</t>
  </si>
  <si>
    <t>Carbon Fiber Tube</t>
  </si>
  <si>
    <t>ft^2</t>
  </si>
  <si>
    <t>Composite Spar</t>
  </si>
  <si>
    <t>g/ft</t>
  </si>
  <si>
    <t>Volume of rectangular cubes</t>
  </si>
  <si>
    <t>rectangular area approximation solied airfoil cross section area</t>
  </si>
  <si>
    <t>Magnitude of bottom Line Segments</t>
  </si>
  <si>
    <t>Manitude of Top Line Segments</t>
  </si>
  <si>
    <t>Atan2 Does not Work</t>
  </si>
  <si>
    <t>lb/in^3</t>
  </si>
  <si>
    <t xml:space="preserve">Density of monkote </t>
  </si>
  <si>
    <t>Foam</t>
  </si>
  <si>
    <t>http://www.foamular.com/foam/products/foamular-150.aspx</t>
  </si>
  <si>
    <t>lb/ft^3</t>
  </si>
  <si>
    <t>FOAMULAR® 150 Rigid Foam Insulation</t>
  </si>
  <si>
    <t>degree</t>
  </si>
  <si>
    <t xml:space="preserve"> theta top</t>
  </si>
  <si>
    <t xml:space="preserve"> theta bottom</t>
  </si>
  <si>
    <t>y top</t>
  </si>
  <si>
    <t>y bottom</t>
  </si>
  <si>
    <t>x bottom &amp; top</t>
  </si>
  <si>
    <t xml:space="preserve">inches </t>
  </si>
  <si>
    <t>Wing Weight</t>
  </si>
  <si>
    <t>weblink of material</t>
  </si>
  <si>
    <t xml:space="preserve">density </t>
  </si>
  <si>
    <t>materail</t>
  </si>
  <si>
    <t xml:space="preserve">Grade A Balsa density </t>
  </si>
  <si>
    <t>percent cord</t>
  </si>
  <si>
    <t>Stations</t>
  </si>
  <si>
    <t>Total Airfoil Thickness</t>
  </si>
  <si>
    <t>Station (in)</t>
  </si>
  <si>
    <t>t lower of airfoil</t>
  </si>
  <si>
    <t>Station</t>
  </si>
  <si>
    <t>t upper of airfoil</t>
  </si>
  <si>
    <t xml:space="preserve">Station </t>
  </si>
  <si>
    <t xml:space="preserve">average balsa densities </t>
  </si>
  <si>
    <t xml:space="preserve">Units </t>
  </si>
  <si>
    <t>ft</t>
  </si>
  <si>
    <t>DRAG BREAKDOWN</t>
  </si>
  <si>
    <t>lb/in</t>
  </si>
  <si>
    <t>per ft</t>
  </si>
  <si>
    <t>per in</t>
  </si>
  <si>
    <t>Wing Coordinate system</t>
  </si>
  <si>
    <t>x passes through modules weighted centriod, i.e centroidal axis</t>
  </si>
  <si>
    <t>Geometry</t>
  </si>
  <si>
    <t>Assumptions</t>
  </si>
  <si>
    <t>Conversion factors</t>
  </si>
  <si>
    <t>SD7062 upper section</t>
  </si>
  <si>
    <t>SD7062 lower section</t>
  </si>
  <si>
    <t>by linear interpolation lower Part of airfoil</t>
  </si>
  <si>
    <t>Material Properties</t>
  </si>
  <si>
    <t>** These properties are derived from wsu experimental data on coupon specimens from homedepot commerical foam FOAMULAR® 150 Rigid Foam Insulation</t>
  </si>
  <si>
    <t>materail is assumed to have 2 material properties along compression and tension along any axis, that is 2 material properties desccribe the behavior of the foam material</t>
  </si>
  <si>
    <t>Carbon Rods</t>
  </si>
  <si>
    <t>Rectangular cross section area approximation</t>
  </si>
  <si>
    <t>*properties obtain from manufacture</t>
  </si>
  <si>
    <t>tx</t>
  </si>
  <si>
    <t>ty</t>
  </si>
  <si>
    <t>tz</t>
  </si>
  <si>
    <t>psi</t>
  </si>
  <si>
    <t>Tractions</t>
  </si>
  <si>
    <t>External Running loads along/ about geometric or modules weighted centriod</t>
  </si>
  <si>
    <t>px(x)</t>
  </si>
  <si>
    <t>py(x)</t>
  </si>
  <si>
    <t>pz(x)</t>
  </si>
  <si>
    <t>mx(x)</t>
  </si>
  <si>
    <t>my(x)</t>
  </si>
  <si>
    <t>mz(x)</t>
  </si>
  <si>
    <t>upper airfoil surface</t>
  </si>
  <si>
    <t>lower airfoil surface</t>
  </si>
  <si>
    <t>Internal Loads</t>
  </si>
  <si>
    <t xml:space="preserve">P(x) </t>
  </si>
  <si>
    <t>Point loads</t>
  </si>
  <si>
    <t>fx</t>
  </si>
  <si>
    <t>fy</t>
  </si>
  <si>
    <t>fz</t>
  </si>
  <si>
    <t>Modules Weighted Centriod</t>
  </si>
  <si>
    <t>calculating modules weighted centriod. Each skin segment is descritized to a piece in between the points</t>
  </si>
  <si>
    <t>Wing</t>
  </si>
  <si>
    <t>Skin profile</t>
  </si>
  <si>
    <t>carbon spar</t>
  </si>
  <si>
    <t>Mean Camber Line</t>
  </si>
  <si>
    <t>http://www.cstsales.com/Carbon_Fiber_Tubes-ss3.html</t>
  </si>
  <si>
    <t>0.315" OD, 0.236" ID STANDARD CARBON TUBE</t>
  </si>
  <si>
    <t>Fuse</t>
  </si>
  <si>
    <r>
      <t>OD 0.312", 2 ft. long</t>
    </r>
    <r>
      <rPr>
        <sz val="12"/>
        <color rgb="FF000000"/>
        <rFont val="Arial"/>
        <family val="2"/>
      </rPr>
      <t> </t>
    </r>
  </si>
  <si>
    <t>ID 0.236", weight 20.8 grams</t>
  </si>
  <si>
    <t>0.254" OD, 0.158" ID STANDARD CARBON TUBE</t>
  </si>
  <si>
    <t>http://www.cstsales.com/Carbon_Fiber_Tubes-ss2.html</t>
  </si>
  <si>
    <r>
      <t>OD 0.254", 2 ft. long</t>
    </r>
    <r>
      <rPr>
        <sz val="12"/>
        <color rgb="FF000000"/>
        <rFont val="Arial"/>
        <family val="2"/>
      </rPr>
      <t> </t>
    </r>
  </si>
  <si>
    <t>ID 0.158", weight 18.7 grams</t>
  </si>
  <si>
    <t>(tuppper+tlower)/2</t>
  </si>
  <si>
    <t>OD</t>
  </si>
  <si>
    <t>ID</t>
  </si>
  <si>
    <t>x increments</t>
  </si>
  <si>
    <t>y=sqrt((r^2 - (x - a)^2))+b</t>
  </si>
  <si>
    <t>y=-sqrt((r^2 - (x - a)^2))+b</t>
  </si>
  <si>
    <t>translation x</t>
  </si>
  <si>
    <t>leading edge foam</t>
  </si>
  <si>
    <t>foam section rectangular approx</t>
  </si>
  <si>
    <t>no contribution</t>
  </si>
  <si>
    <t>Composite Beam</t>
  </si>
  <si>
    <t>Foam thickness</t>
  </si>
  <si>
    <t>Material B thickness</t>
  </si>
  <si>
    <t>load factors</t>
  </si>
  <si>
    <t>kg</t>
  </si>
  <si>
    <t>* all lenghts in units of cm and all forces in units of newtons</t>
  </si>
  <si>
    <t>N</t>
  </si>
  <si>
    <t>2.5 g loads</t>
  </si>
  <si>
    <t>Mx(X)</t>
  </si>
  <si>
    <t>Vz(X)</t>
  </si>
  <si>
    <t>Vy(X)</t>
  </si>
  <si>
    <t>My(X)</t>
  </si>
  <si>
    <t>Mz(X)</t>
  </si>
  <si>
    <t>in^4</t>
  </si>
  <si>
    <t>units: inches</t>
  </si>
  <si>
    <t>Composite Rod</t>
  </si>
  <si>
    <t>checking stress along mid plane of composite rod</t>
  </si>
  <si>
    <t>Carbon Rod Safety Factor</t>
  </si>
  <si>
    <t>at</t>
  </si>
  <si>
    <t>Iyz/Er*(Iyy*Izz-Iyz^2)</t>
  </si>
  <si>
    <t>Iyy/Er*(Iyy*Izz-Iyz^2)</t>
  </si>
  <si>
    <t>Bending Analysis check</t>
  </si>
  <si>
    <t>foam check</t>
  </si>
  <si>
    <t>foam safety factor</t>
  </si>
  <si>
    <t>tension</t>
  </si>
  <si>
    <t>5.0 g load</t>
  </si>
  <si>
    <t>unit loads</t>
  </si>
  <si>
    <t>gs</t>
  </si>
  <si>
    <t>unit load</t>
  </si>
  <si>
    <t>dvo/dx=</t>
  </si>
  <si>
    <t>2nd degree appproximation with foam contribution</t>
  </si>
  <si>
    <t>1st order approximation with no foam contribution v(o) deflection</t>
  </si>
  <si>
    <t>X</t>
  </si>
  <si>
    <t>+Y</t>
  </si>
  <si>
    <t>-Y</t>
  </si>
  <si>
    <t>Circular rod front</t>
  </si>
  <si>
    <t>Circular rod back</t>
  </si>
  <si>
    <t>checking stress at wing to fuse joint (highest stress concentraction) for composite rod front</t>
  </si>
  <si>
    <t xml:space="preserve">front </t>
  </si>
  <si>
    <t>sigmaxx</t>
  </si>
  <si>
    <t>front carbon rod</t>
  </si>
  <si>
    <t>check</t>
  </si>
  <si>
    <t>L (in) critical lengt</t>
  </si>
  <si>
    <t>column length</t>
  </si>
  <si>
    <t>P Critical * this load is very conservative, take highest stress concentration and use as critical applied load by multiplying be area</t>
  </si>
  <si>
    <t>Units in centi meters</t>
  </si>
  <si>
    <t>inche</t>
  </si>
  <si>
    <t>catia input</t>
  </si>
  <si>
    <t>center fuse rods</t>
  </si>
  <si>
    <t>color code item</t>
  </si>
  <si>
    <t>color</t>
  </si>
  <si>
    <t>battery</t>
  </si>
  <si>
    <t>red</t>
  </si>
  <si>
    <t>lime green</t>
  </si>
  <si>
    <t>marco polo</t>
  </si>
  <si>
    <t>Camera+Gimbal</t>
  </si>
  <si>
    <t>blue</t>
  </si>
  <si>
    <t>Ardu-Pilot</t>
  </si>
  <si>
    <t>black</t>
  </si>
  <si>
    <t>receiver 1</t>
  </si>
  <si>
    <t>yellow</t>
  </si>
  <si>
    <t>sky blue</t>
  </si>
  <si>
    <t>receiver 2</t>
  </si>
  <si>
    <t>GPS_module</t>
  </si>
  <si>
    <t>pink</t>
  </si>
  <si>
    <t>Speed Controller</t>
  </si>
  <si>
    <t>orange</t>
  </si>
  <si>
    <t>neon  green</t>
  </si>
  <si>
    <t xml:space="preserve">F150 insulation foam </t>
  </si>
  <si>
    <t xml:space="preserve">Height: </t>
  </si>
  <si>
    <t xml:space="preserve">L_nose: </t>
  </si>
  <si>
    <t xml:space="preserve">L_body: </t>
  </si>
  <si>
    <t xml:space="preserve">L_rear: </t>
  </si>
  <si>
    <t xml:space="preserve">L_total: </t>
  </si>
  <si>
    <t xml:space="preserve">Angle: </t>
  </si>
  <si>
    <t xml:space="preserve">x_LE: </t>
  </si>
  <si>
    <t xml:space="preserve">x_AC: </t>
  </si>
  <si>
    <t xml:space="preserve">Chord root: </t>
  </si>
  <si>
    <t xml:space="preserve">Span: </t>
  </si>
  <si>
    <t xml:space="preserve">Aileron_span_start: </t>
  </si>
  <si>
    <t xml:space="preserve">Aileron_span_end: </t>
  </si>
  <si>
    <t xml:space="preserve">Aileron_chord_ratio: </t>
  </si>
  <si>
    <t xml:space="preserve">Aileron_angle_max: </t>
  </si>
  <si>
    <t xml:space="preserve">Aileron_angle_min: </t>
  </si>
  <si>
    <t xml:space="preserve">z_AC: </t>
  </si>
  <si>
    <t xml:space="preserve">Incidence: </t>
  </si>
  <si>
    <t xml:space="preserve">Elevator_span_start: </t>
  </si>
  <si>
    <t xml:space="preserve">Elevator_span_end: </t>
  </si>
  <si>
    <t xml:space="preserve">Elevator_choord_ratio: </t>
  </si>
  <si>
    <t xml:space="preserve">Elevator_angle_maxup: </t>
  </si>
  <si>
    <t xml:space="preserve">Elevator_angle_maxdown: </t>
  </si>
  <si>
    <t xml:space="preserve">Rudder_span_start: </t>
  </si>
  <si>
    <t xml:space="preserve">Rudder_span_end: </t>
  </si>
  <si>
    <t xml:space="preserve">Rudder_choord_ratio: </t>
  </si>
  <si>
    <t xml:space="preserve">Rudder_angle_maxup: </t>
  </si>
  <si>
    <t xml:space="preserve">Rudder_angle_maxdown: </t>
  </si>
  <si>
    <t xml:space="preserve">Wing: </t>
  </si>
  <si>
    <t xml:space="preserve">Hstab: </t>
  </si>
  <si>
    <t xml:space="preserve">Fuselage: </t>
  </si>
  <si>
    <t xml:space="preserve">Total: </t>
  </si>
  <si>
    <t>t</t>
  </si>
  <si>
    <t>le</t>
  </si>
  <si>
    <t>Ixx</t>
  </si>
  <si>
    <t>sigmaxx =</t>
  </si>
  <si>
    <t>appplied end load</t>
  </si>
  <si>
    <t>lb</t>
  </si>
  <si>
    <t>Mrx</t>
  </si>
  <si>
    <t>n*cm</t>
  </si>
  <si>
    <t>M(y)</t>
  </si>
  <si>
    <t>Sigmaxx(0,le,t/2)</t>
  </si>
  <si>
    <t>safety factor</t>
  </si>
  <si>
    <t>rigid insulation foam</t>
  </si>
  <si>
    <t>lbs/ft^3</t>
  </si>
  <si>
    <t xml:space="preserve"> kg / (m^3)</t>
  </si>
  <si>
    <t>fuselage</t>
  </si>
  <si>
    <t>w</t>
  </si>
  <si>
    <t>v</t>
  </si>
  <si>
    <t>kg/m</t>
  </si>
  <si>
    <t>rod</t>
  </si>
  <si>
    <t>rod .254 fuse</t>
  </si>
  <si>
    <t>rod .312 wing</t>
  </si>
  <si>
    <t>rod.254 wing</t>
  </si>
  <si>
    <t>wing foam</t>
  </si>
  <si>
    <t>empenage</t>
  </si>
  <si>
    <t>nose</t>
  </si>
  <si>
    <t>horizontal</t>
  </si>
  <si>
    <t>vertical</t>
  </si>
  <si>
    <t>MASS OF EMPTY WEIGHT</t>
  </si>
  <si>
    <t>tmax</t>
  </si>
  <si>
    <t>Sigmaxx(0,le,-t/2) n/cm^2</t>
  </si>
  <si>
    <t>1 newton/centimeter² [N/cm²] = 1.4503773773 psi [psi]</t>
  </si>
  <si>
    <t>lb/in^2</t>
  </si>
  <si>
    <t>cm^4</t>
  </si>
  <si>
    <t>Iyy</t>
  </si>
  <si>
    <t>starting at nose</t>
  </si>
  <si>
    <t>from bottom of fuselage</t>
  </si>
  <si>
    <t>measure from:</t>
  </si>
  <si>
    <t>center of gravity</t>
  </si>
  <si>
    <t>*** for empty weight structure</t>
  </si>
  <si>
    <t>from nose cone tip</t>
  </si>
  <si>
    <t>from centerline of fuselage</t>
  </si>
  <si>
    <t>belly of the aircraft</t>
  </si>
  <si>
    <t xml:space="preserve"> for empty weight</t>
  </si>
  <si>
    <t>Parallel to Fuse Ixx</t>
  </si>
  <si>
    <t>Parallel to wing Iyy</t>
  </si>
  <si>
    <t>perpendicular to Fuse Izz</t>
  </si>
  <si>
    <t xml:space="preserve"> </t>
  </si>
  <si>
    <t>0.034kgxm2</t>
  </si>
  <si>
    <t>0.097kgxm2</t>
  </si>
  <si>
    <t>0.131kgxm2</t>
  </si>
  <si>
    <t>moments of inertia</t>
  </si>
  <si>
    <t xml:space="preserve">NAME: </t>
  </si>
  <si>
    <t xml:space="preserve">MASS: </t>
  </si>
  <si>
    <t xml:space="preserve">LX: </t>
  </si>
  <si>
    <t xml:space="preserve">LY: </t>
  </si>
  <si>
    <t xml:space="preserve">LZ: </t>
  </si>
  <si>
    <t xml:space="preserve">X: </t>
  </si>
  <si>
    <t xml:space="preserve">Y: </t>
  </si>
  <si>
    <t xml:space="preserve">Z: </t>
  </si>
  <si>
    <t>Ardupilot</t>
  </si>
  <si>
    <t>Receiver</t>
  </si>
  <si>
    <t>N/m^2</t>
  </si>
  <si>
    <t>2.54cm = 1 in</t>
  </si>
  <si>
    <t>LX</t>
  </si>
  <si>
    <t xml:space="preserve">LY </t>
  </si>
  <si>
    <t>MB=MA</t>
  </si>
  <si>
    <t>1 newton/square meter  =  0.000145038 pound-force/square inch</t>
  </si>
  <si>
    <t>Fuse Coordinate system</t>
  </si>
  <si>
    <t>Fuse Geometry</t>
  </si>
  <si>
    <t xml:space="preserve">Wall heights </t>
  </si>
  <si>
    <t>euler column buckling check</t>
  </si>
  <si>
    <t xml:space="preserve">** buckling check is performed  for just one spar, that is on spar would take about 19 lbs at the tip to buckle </t>
  </si>
  <si>
    <t>f</t>
  </si>
  <si>
    <t>g</t>
  </si>
  <si>
    <t>structural member</t>
  </si>
  <si>
    <t>h</t>
  </si>
  <si>
    <t>j</t>
  </si>
  <si>
    <t>k</t>
  </si>
  <si>
    <t>all units in  inches</t>
  </si>
  <si>
    <t>n/a</t>
  </si>
  <si>
    <t>Structural member</t>
  </si>
  <si>
    <t>Diameter inner</t>
  </si>
  <si>
    <t>Diameter outer</t>
  </si>
  <si>
    <t>Outer Fuselage Height</t>
  </si>
  <si>
    <t xml:space="preserve">Outer Fuselage Width </t>
  </si>
  <si>
    <t xml:space="preserve">degree slope angle </t>
  </si>
  <si>
    <t>a rect</t>
  </si>
  <si>
    <t>b rect</t>
  </si>
  <si>
    <t>c rect</t>
  </si>
  <si>
    <t>d tri</t>
  </si>
  <si>
    <t>e tri</t>
  </si>
  <si>
    <t>g tri</t>
  </si>
  <si>
    <t>f tri</t>
  </si>
  <si>
    <t>h sqr</t>
  </si>
  <si>
    <t>j sqr</t>
  </si>
  <si>
    <t>strucutal member</t>
  </si>
  <si>
    <t>bottom left corner</t>
  </si>
  <si>
    <t>Y</t>
  </si>
  <si>
    <t>Z</t>
  </si>
  <si>
    <t>height ( Y length)</t>
  </si>
  <si>
    <t>Width (Z Length)</t>
  </si>
  <si>
    <t xml:space="preserve">Width: </t>
  </si>
  <si>
    <t xml:space="preserve">Airfoil: </t>
  </si>
  <si>
    <t>NACA0006</t>
  </si>
  <si>
    <t xml:space="preserve">Chord tip: </t>
  </si>
  <si>
    <t>LONG STABILITY (TWO GIMBALS)</t>
  </si>
  <si>
    <t xml:space="preserve">Mass: </t>
  </si>
  <si>
    <t xml:space="preserve">Cm_alpha: </t>
  </si>
  <si>
    <t xml:space="preserve">x_CG: </t>
  </si>
  <si>
    <t xml:space="preserve">NP: </t>
  </si>
  <si>
    <t xml:space="preserve">SM: </t>
  </si>
  <si>
    <t>Camera+Gimbal_1</t>
  </si>
  <si>
    <t>Camera+Gimbal_2</t>
  </si>
  <si>
    <t>Telemetry</t>
  </si>
  <si>
    <t>correct this</t>
  </si>
  <si>
    <t>external layout</t>
  </si>
  <si>
    <t>Internal Layout</t>
  </si>
  <si>
    <t xml:space="preserve">materail is assumed to have 2 material properties along compression and tension along any axis, that is 2 material properties desccribe the behavior of the foam material. </t>
  </si>
  <si>
    <t>This material is treated as linearly isotropic</t>
  </si>
  <si>
    <t>location (m)</t>
  </si>
  <si>
    <t>Load force KG</t>
  </si>
  <si>
    <t>element load ID</t>
  </si>
  <si>
    <t>compression</t>
  </si>
  <si>
    <t>NACA 0006</t>
  </si>
  <si>
    <t>Column1</t>
  </si>
  <si>
    <t>Column2</t>
  </si>
  <si>
    <t>Position From Root</t>
  </si>
  <si>
    <t>Lift Force (N)</t>
  </si>
  <si>
    <t>elements</t>
  </si>
  <si>
    <t>rectangular approximation</t>
  </si>
  <si>
    <t>rectangular element</t>
  </si>
  <si>
    <t>width  (z)</t>
  </si>
  <si>
    <t>height  (y)</t>
  </si>
  <si>
    <t>z location</t>
  </si>
  <si>
    <t>y location</t>
  </si>
  <si>
    <t>centroid location</t>
  </si>
  <si>
    <t>Izz</t>
  </si>
  <si>
    <t>Iyz</t>
  </si>
  <si>
    <t>loads</t>
  </si>
  <si>
    <t>inches</t>
  </si>
  <si>
    <t>position in</t>
  </si>
  <si>
    <t>lift force (lbs)</t>
  </si>
  <si>
    <t>y = -3E-07x4 + 5E-06x3 - 4E-05x2 + 8E-05x + 0.0049</t>
  </si>
  <si>
    <r>
      <t>y = -3E-07x</t>
    </r>
    <r>
      <rPr>
        <vertAlign val="super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+ 5E-06x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- 4E-05x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+ 8E-05x + 0.0049</t>
    </r>
  </si>
  <si>
    <t>lift distribution</t>
  </si>
  <si>
    <t>y(x in)</t>
  </si>
  <si>
    <t>lift distribution running load about quarter cord</t>
  </si>
  <si>
    <t>py(x)=</t>
  </si>
  <si>
    <t>z (from centroid) *y</t>
  </si>
  <si>
    <t>span in</t>
  </si>
  <si>
    <t xml:space="preserve">cord in </t>
  </si>
  <si>
    <t>y up the wing</t>
  </si>
  <si>
    <t>z forward, towards a/c nose</t>
  </si>
  <si>
    <t>x out of h stab, always from a/c center line</t>
  </si>
  <si>
    <t>((J47*x^5)/5)+((K47*x^4)/4)+((L47*x^3)/3)+((M47*x^2)/2)+(N47*x)</t>
  </si>
  <si>
    <t>Vy(0)=</t>
  </si>
  <si>
    <t>Mx(0)</t>
  </si>
  <si>
    <t>(H307-F45*0.25)*((J47*x^5)/5)+((K47*x^4)/4)+((L47*x^3)/3)+((M47*x^2)/2)+(N47*x)</t>
  </si>
  <si>
    <t>mx(x) = -</t>
  </si>
  <si>
    <t>Mz(0)</t>
  </si>
  <si>
    <t>all forces and moments in inches and lbs</t>
  </si>
  <si>
    <t>My(x)</t>
  </si>
  <si>
    <t>Mz (x)</t>
  </si>
  <si>
    <t>Percent Loading (Tension) SF</t>
  </si>
  <si>
    <t>Percent Loading (Compression) SF</t>
  </si>
  <si>
    <t>all dimensions in inches</t>
  </si>
  <si>
    <t>Bending analysis</t>
  </si>
  <si>
    <t>torsion of square members</t>
  </si>
  <si>
    <t>deflection</t>
  </si>
  <si>
    <t>V0(x)</t>
  </si>
  <si>
    <t>T</t>
  </si>
  <si>
    <t>lb-in</t>
  </si>
  <si>
    <t>b/t</t>
  </si>
  <si>
    <t>alpha</t>
  </si>
  <si>
    <t>beta</t>
  </si>
  <si>
    <t>shear</t>
  </si>
  <si>
    <t>*** from visual inspection, principal stress are lower than yield stress, thus no  tresca criteria applied, althoug will be applied later</t>
  </si>
  <si>
    <r>
      <t>y = -7E-06x</t>
    </r>
    <r>
      <rPr>
        <vertAlign val="superscript"/>
        <sz val="11"/>
        <color theme="1"/>
        <rFont val="Calibri"/>
        <family val="2"/>
        <scheme val="minor"/>
      </rPr>
      <t>4</t>
    </r>
    <r>
      <rPr>
        <sz val="11"/>
        <color theme="1"/>
        <rFont val="Calibri"/>
        <family val="2"/>
        <scheme val="minor"/>
      </rPr>
      <t xml:space="preserve"> + 5E-05x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- 0.0001x</t>
    </r>
    <r>
      <rPr>
        <vertAlign val="superscript"/>
        <sz val="11"/>
        <color theme="1"/>
        <rFont val="Calibri"/>
        <family val="2"/>
        <scheme val="minor"/>
      </rPr>
      <t>2</t>
    </r>
    <r>
      <rPr>
        <sz val="11"/>
        <color theme="1"/>
        <rFont val="Calibri"/>
        <family val="2"/>
        <scheme val="minor"/>
      </rPr>
      <t xml:space="preserve"> + 9E-05x + 0.0017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</si>
</sst>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5">
    <numFmt numFmtId="164" formatCode="#,##0.0"/>
    <numFmt numFmtId="165" formatCode="0.000"/>
    <numFmt numFmtId="166" formatCode="0.0%"/>
    <numFmt numFmtId="167" formatCode="0.000000"/>
    <numFmt numFmtId="168" formatCode="0.0000"/>
    <numFmt numFmtId="169" formatCode="_-* #,##0.00\ &quot;€&quot;_-;\-* #,##0.00\ &quot;€&quot;_-;_-* &quot;-&quot;??\ &quot;€&quot;_-;_-@_-"/>
    <numFmt numFmtId="170" formatCode="0.00000"/>
    <numFmt numFmtId="171" formatCode="0.00000000"/>
    <numFmt numFmtId="172" formatCode="#,##0.0000"/>
    <numFmt numFmtId="173" formatCode="0.0000000"/>
    <numFmt numFmtId="174" formatCode="0.000000000"/>
    <numFmt numFmtId="175" formatCode="0.000000000000000"/>
    <numFmt numFmtId="176" formatCode="0.0"/>
    <numFmt numFmtId="177" formatCode="0E+00"/>
    <numFmt numFmtId="178" formatCode="0.0000000E+00"/>
  </numFmts>
  <fonts count="29" x14ac:knownFonts="1">
    <font>
      <sz val="11"/>
      <color theme="1"/>
      <name val="Calibri"/>
      <family val="2"/>
      <scheme val="minor"/>
    </font>
    <font>
      <sz val="10"/>
      <color rgb="FF000000"/>
      <name val="Arial Unicode MS"/>
      <family val="2"/>
    </font>
    <font>
      <vertAlign val="superscript"/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2"/>
      <name val="Arial"/>
      <family val="2"/>
    </font>
    <font>
      <sz val="10"/>
      <name val="Arial"/>
      <family val="2"/>
    </font>
    <font>
      <b/>
      <u/>
      <sz val="10"/>
      <name val="Arial"/>
      <family val="2"/>
    </font>
    <font>
      <b/>
      <sz val="10"/>
      <name val="Arial"/>
      <family val="2"/>
    </font>
    <font>
      <sz val="1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3"/>
      <color theme="3"/>
      <name val="Calibri"/>
      <family val="2"/>
      <scheme val="minor"/>
    </font>
    <font>
      <sz val="11"/>
      <color theme="1"/>
      <name val="Symbol"/>
      <family val="1"/>
      <charset val="2"/>
    </font>
    <font>
      <sz val="11"/>
      <color theme="1"/>
      <name val="Calibri"/>
      <family val="2"/>
    </font>
    <font>
      <sz val="10"/>
      <color rgb="FF555555"/>
      <name val="Andale Mono"/>
    </font>
    <font>
      <sz val="11"/>
      <color rgb="FF000000"/>
      <name val="Calibri"/>
      <family val="2"/>
      <scheme val="minor"/>
    </font>
    <font>
      <sz val="13"/>
      <color theme="3"/>
      <name val="Calibri"/>
      <family val="2"/>
      <scheme val="minor"/>
    </font>
    <font>
      <b/>
      <sz val="10"/>
      <color rgb="FF555555"/>
      <name val="Andale Mono"/>
    </font>
    <font>
      <b/>
      <sz val="10"/>
      <name val="Andale Mono"/>
    </font>
    <font>
      <sz val="10"/>
      <name val="Andale Mono"/>
    </font>
    <font>
      <b/>
      <sz val="10"/>
      <name val="Calibri"/>
      <family val="2"/>
      <scheme val="minor"/>
    </font>
    <font>
      <sz val="10"/>
      <name val="Calibri"/>
      <family val="2"/>
      <scheme val="minor"/>
    </font>
    <font>
      <sz val="12"/>
      <color rgb="FF000000"/>
      <name val="Arial"/>
      <family val="2"/>
    </font>
    <font>
      <b/>
      <sz val="12"/>
      <color rgb="FF000000"/>
      <name val="Arial"/>
      <family val="2"/>
    </font>
    <font>
      <sz val="11"/>
      <color theme="0"/>
      <name val="Calibri"/>
      <family val="2"/>
      <scheme val="minor"/>
    </font>
    <font>
      <sz val="10"/>
      <color theme="1"/>
      <name val="Verdana"/>
      <family val="2"/>
    </font>
    <font>
      <sz val="12"/>
      <color rgb="FF385B88"/>
      <name val="Arial"/>
      <family val="2"/>
    </font>
    <font>
      <b/>
      <sz val="11"/>
      <color theme="0"/>
      <name val="Calibri"/>
      <family val="2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7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C0C0C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DE9D9"/>
        <bgColor rgb="FF000000"/>
      </patternFill>
    </fill>
    <fill>
      <patternFill patternType="solid">
        <fgColor theme="9" tint="0.79998168889431442"/>
        <bgColor rgb="FF000000"/>
      </patternFill>
    </fill>
    <fill>
      <patternFill patternType="solid">
        <fgColor rgb="FF3366FF"/>
        <bgColor rgb="FF000000"/>
      </patternFill>
    </fill>
    <fill>
      <patternFill patternType="solid">
        <fgColor rgb="FF3366FF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00CC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00FF"/>
        <bgColor indexed="64"/>
      </patternFill>
    </fill>
    <fill>
      <patternFill patternType="solid">
        <fgColor rgb="FFFF00FF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/>
        <bgColor theme="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9"/>
        <bgColor indexed="64"/>
      </patternFill>
    </fill>
  </fills>
  <borders count="5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/>
      <top/>
      <bottom style="thick">
        <color theme="4" tint="0.499984740745262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medium">
        <color rgb="FFFFFFFF"/>
      </top>
      <bottom/>
      <diagonal/>
    </border>
    <border>
      <left/>
      <right style="thin">
        <color auto="1"/>
      </right>
      <top style="medium">
        <color indexed="64"/>
      </top>
      <bottom style="thin">
        <color indexed="64"/>
      </bottom>
      <diagonal/>
    </border>
    <border>
      <left style="thin">
        <color auto="1"/>
      </left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auto="1"/>
      </right>
      <top style="thin">
        <color indexed="64"/>
      </top>
      <bottom style="medium">
        <color indexed="64"/>
      </bottom>
      <diagonal/>
    </border>
    <border>
      <left style="thin">
        <color auto="1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  <border>
      <left style="thin">
        <color theme="4" tint="0.39997558519241921"/>
      </left>
      <right/>
      <top style="thin">
        <color theme="4" tint="0.39997558519241921"/>
      </top>
      <bottom/>
      <diagonal/>
    </border>
    <border>
      <left/>
      <right style="thin">
        <color theme="4" tint="0.39997558519241921"/>
      </right>
      <top style="thin">
        <color theme="4" tint="0.39997558519241921"/>
      </top>
      <bottom/>
      <diagonal/>
    </border>
    <border>
      <left/>
      <right/>
      <top style="thick">
        <color auto="1"/>
      </top>
      <bottom/>
      <diagonal/>
    </border>
  </borders>
  <cellStyleXfs count="4">
    <xf numFmtId="0" fontId="0" fillId="0" borderId="0"/>
    <xf numFmtId="0" fontId="4" fillId="0" borderId="0" applyNumberFormat="0" applyFill="0" applyBorder="0" applyAlignment="0" applyProtection="0"/>
    <xf numFmtId="0" fontId="12" fillId="0" borderId="21" applyNumberFormat="0" applyFill="0" applyAlignment="0" applyProtection="0"/>
    <xf numFmtId="169" fontId="11" fillId="0" borderId="0" applyFont="0" applyFill="0" applyBorder="0" applyAlignment="0" applyProtection="0"/>
  </cellStyleXfs>
  <cellXfs count="538">
    <xf numFmtId="0" fontId="0" fillId="0" borderId="0" xfId="0"/>
    <xf numFmtId="0" fontId="1" fillId="0" borderId="0" xfId="0" applyFont="1" applyAlignment="1">
      <alignment vertical="center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0" xfId="0" applyAlignment="1">
      <alignment wrapText="1"/>
    </xf>
    <xf numFmtId="0" fontId="0" fillId="0" borderId="1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1" xfId="0" applyBorder="1"/>
    <xf numFmtId="0" fontId="0" fillId="0" borderId="12" xfId="0" applyBorder="1"/>
    <xf numFmtId="0" fontId="0" fillId="0" borderId="13" xfId="0" applyBorder="1"/>
    <xf numFmtId="0" fontId="0" fillId="3" borderId="8" xfId="0" applyFill="1" applyBorder="1"/>
    <xf numFmtId="0" fontId="0" fillId="3" borderId="13" xfId="0" applyFill="1" applyBorder="1"/>
    <xf numFmtId="0" fontId="0" fillId="3" borderId="10" xfId="0" applyFill="1" applyBorder="1"/>
    <xf numFmtId="0" fontId="0" fillId="0" borderId="0" xfId="0" applyFill="1" applyBorder="1"/>
    <xf numFmtId="0" fontId="0" fillId="4" borderId="1" xfId="0" applyFill="1" applyBorder="1"/>
    <xf numFmtId="0" fontId="0" fillId="4" borderId="6" xfId="0" applyFill="1" applyBorder="1"/>
    <xf numFmtId="0" fontId="3" fillId="4" borderId="6" xfId="0" applyFont="1" applyFill="1" applyBorder="1"/>
    <xf numFmtId="0" fontId="3" fillId="4" borderId="9" xfId="0" applyFont="1" applyFill="1" applyBorder="1"/>
    <xf numFmtId="0" fontId="3" fillId="4" borderId="11" xfId="0" applyFont="1" applyFill="1" applyBorder="1"/>
    <xf numFmtId="0" fontId="0" fillId="4" borderId="14" xfId="0" applyFill="1" applyBorder="1"/>
    <xf numFmtId="0" fontId="0" fillId="4" borderId="15" xfId="0" applyFill="1" applyBorder="1"/>
    <xf numFmtId="0" fontId="0" fillId="4" borderId="16" xfId="0" applyFill="1" applyBorder="1"/>
    <xf numFmtId="0" fontId="0" fillId="4" borderId="0" xfId="0" applyFill="1" applyBorder="1"/>
    <xf numFmtId="0" fontId="0" fillId="2" borderId="6" xfId="0" applyFill="1" applyBorder="1"/>
    <xf numFmtId="0" fontId="0" fillId="2" borderId="9" xfId="0" applyFill="1" applyBorder="1"/>
    <xf numFmtId="0" fontId="0" fillId="2" borderId="11" xfId="0" applyFill="1" applyBorder="1"/>
    <xf numFmtId="0" fontId="4" fillId="0" borderId="0" xfId="1"/>
    <xf numFmtId="0" fontId="6" fillId="0" borderId="0" xfId="0" applyFont="1"/>
    <xf numFmtId="0" fontId="6" fillId="5" borderId="0" xfId="0" applyFont="1" applyFill="1"/>
    <xf numFmtId="0" fontId="7" fillId="0" borderId="0" xfId="0" applyFont="1" applyAlignment="1">
      <alignment horizontal="center"/>
    </xf>
    <xf numFmtId="0" fontId="8" fillId="0" borderId="0" xfId="0" applyFont="1"/>
    <xf numFmtId="9" fontId="6" fillId="0" borderId="0" xfId="0" applyNumberFormat="1" applyFont="1" applyAlignment="1">
      <alignment horizontal="center"/>
    </xf>
    <xf numFmtId="0" fontId="6" fillId="0" borderId="0" xfId="0" applyFont="1" applyAlignment="1">
      <alignment horizontal="center"/>
    </xf>
    <xf numFmtId="3" fontId="0" fillId="0" borderId="0" xfId="0" applyNumberFormat="1"/>
    <xf numFmtId="3" fontId="0" fillId="0" borderId="1" xfId="0" applyNumberFormat="1" applyBorder="1"/>
    <xf numFmtId="0" fontId="0" fillId="0" borderId="17" xfId="0" applyBorder="1"/>
    <xf numFmtId="0" fontId="0" fillId="0" borderId="0" xfId="0" applyBorder="1"/>
    <xf numFmtId="49" fontId="0" fillId="0" borderId="0" xfId="0" applyNumberFormat="1"/>
    <xf numFmtId="0" fontId="9" fillId="6" borderId="9" xfId="0" applyFont="1" applyFill="1" applyBorder="1"/>
    <xf numFmtId="0" fontId="9" fillId="6" borderId="10" xfId="0" applyFont="1" applyFill="1" applyBorder="1"/>
    <xf numFmtId="0" fontId="9" fillId="6" borderId="0" xfId="0" applyFont="1" applyFill="1"/>
    <xf numFmtId="0" fontId="9" fillId="6" borderId="1" xfId="0" applyFont="1" applyFill="1" applyBorder="1"/>
    <xf numFmtId="0" fontId="0" fillId="4" borderId="18" xfId="0" applyFill="1" applyBorder="1"/>
    <xf numFmtId="164" fontId="0" fillId="0" borderId="0" xfId="0" applyNumberFormat="1"/>
    <xf numFmtId="0" fontId="0" fillId="0" borderId="9" xfId="0" applyFill="1" applyBorder="1"/>
    <xf numFmtId="0" fontId="0" fillId="0" borderId="11" xfId="0" applyFill="1" applyBorder="1"/>
    <xf numFmtId="0" fontId="0" fillId="6" borderId="1" xfId="0" applyFill="1" applyBorder="1"/>
    <xf numFmtId="0" fontId="0" fillId="6" borderId="0" xfId="0" applyFill="1"/>
    <xf numFmtId="164" fontId="0" fillId="6" borderId="0" xfId="0" applyNumberFormat="1" applyFill="1"/>
    <xf numFmtId="0" fontId="0" fillId="0" borderId="19" xfId="0" applyFill="1" applyBorder="1"/>
    <xf numFmtId="0" fontId="0" fillId="3" borderId="20" xfId="0" applyFill="1" applyBorder="1"/>
    <xf numFmtId="0" fontId="0" fillId="7" borderId="0" xfId="0" applyFill="1"/>
    <xf numFmtId="0" fontId="10" fillId="0" borderId="0" xfId="0" applyFont="1"/>
    <xf numFmtId="0" fontId="3" fillId="0" borderId="0" xfId="0" applyFont="1"/>
    <xf numFmtId="4" fontId="3" fillId="8" borderId="1" xfId="0" applyNumberFormat="1" applyFont="1" applyFill="1" applyBorder="1" applyAlignment="1">
      <alignment horizontal="center"/>
    </xf>
    <xf numFmtId="0" fontId="3" fillId="9" borderId="1" xfId="0" applyFont="1" applyFill="1" applyBorder="1" applyAlignment="1">
      <alignment horizontal="center"/>
    </xf>
    <xf numFmtId="165" fontId="3" fillId="10" borderId="1" xfId="0" applyNumberFormat="1" applyFont="1" applyFill="1" applyBorder="1" applyAlignment="1">
      <alignment horizontal="center"/>
    </xf>
    <xf numFmtId="0" fontId="3" fillId="11" borderId="1" xfId="0" applyFont="1" applyFill="1" applyBorder="1" applyAlignment="1">
      <alignment horizontal="center"/>
    </xf>
    <xf numFmtId="0" fontId="3" fillId="8" borderId="0" xfId="0" applyFont="1" applyFill="1" applyAlignment="1">
      <alignment horizontal="center"/>
    </xf>
    <xf numFmtId="0" fontId="3" fillId="9" borderId="0" xfId="0" applyFont="1" applyFill="1" applyAlignment="1">
      <alignment horizontal="center"/>
    </xf>
    <xf numFmtId="0" fontId="3" fillId="10" borderId="0" xfId="0" applyFont="1" applyFill="1" applyAlignment="1">
      <alignment horizontal="center"/>
    </xf>
    <xf numFmtId="0" fontId="3" fillId="11" borderId="0" xfId="0" applyFont="1" applyFill="1" applyAlignment="1">
      <alignment horizontal="center"/>
    </xf>
    <xf numFmtId="0" fontId="0" fillId="3" borderId="0" xfId="0" applyFill="1"/>
    <xf numFmtId="0" fontId="0" fillId="12" borderId="0" xfId="0" applyFill="1"/>
    <xf numFmtId="0" fontId="0" fillId="4" borderId="0" xfId="0" applyFill="1"/>
    <xf numFmtId="166" fontId="0" fillId="0" borderId="0" xfId="0" applyNumberFormat="1"/>
    <xf numFmtId="167" fontId="0" fillId="0" borderId="0" xfId="0" applyNumberFormat="1"/>
    <xf numFmtId="168" fontId="0" fillId="0" borderId="0" xfId="0" applyNumberFormat="1"/>
    <xf numFmtId="0" fontId="0" fillId="0" borderId="22" xfId="0" applyBorder="1"/>
    <xf numFmtId="0" fontId="0" fillId="0" borderId="23" xfId="0" applyBorder="1"/>
    <xf numFmtId="0" fontId="0" fillId="0" borderId="24" xfId="0" applyBorder="1"/>
    <xf numFmtId="0" fontId="0" fillId="0" borderId="25" xfId="0" applyBorder="1"/>
    <xf numFmtId="0" fontId="0" fillId="0" borderId="0" xfId="0" applyNumberFormat="1"/>
    <xf numFmtId="168" fontId="0" fillId="0" borderId="24" xfId="0" applyNumberFormat="1" applyBorder="1"/>
    <xf numFmtId="170" fontId="0" fillId="0" borderId="0" xfId="3" applyNumberFormat="1" applyFont="1"/>
    <xf numFmtId="171" fontId="0" fillId="0" borderId="24" xfId="0" applyNumberFormat="1" applyBorder="1"/>
    <xf numFmtId="0" fontId="0" fillId="0" borderId="26" xfId="0" applyBorder="1"/>
    <xf numFmtId="0" fontId="0" fillId="0" borderId="27" xfId="0" applyBorder="1"/>
    <xf numFmtId="0" fontId="0" fillId="0" borderId="0" xfId="0" applyAlignment="1"/>
    <xf numFmtId="0" fontId="0" fillId="0" borderId="0" xfId="0" applyAlignment="1">
      <alignment horizontal="right"/>
    </xf>
    <xf numFmtId="168" fontId="0" fillId="0" borderId="0" xfId="0" applyNumberFormat="1" applyAlignment="1">
      <alignment horizontal="right"/>
    </xf>
    <xf numFmtId="172" fontId="0" fillId="0" borderId="0" xfId="0" applyNumberFormat="1"/>
    <xf numFmtId="0" fontId="0" fillId="0" borderId="0" xfId="0" applyNumberFormat="1" applyAlignment="1"/>
    <xf numFmtId="0" fontId="0" fillId="0" borderId="0" xfId="0" applyFill="1"/>
    <xf numFmtId="173" fontId="0" fillId="0" borderId="0" xfId="0" applyNumberFormat="1"/>
    <xf numFmtId="17" fontId="0" fillId="0" borderId="0" xfId="0" applyNumberFormat="1"/>
    <xf numFmtId="0" fontId="0" fillId="0" borderId="0" xfId="0" applyAlignment="1">
      <alignment horizontal="center"/>
    </xf>
    <xf numFmtId="167" fontId="0" fillId="3" borderId="0" xfId="0" applyNumberFormat="1" applyFill="1" applyAlignment="1">
      <alignment horizontal="center"/>
    </xf>
    <xf numFmtId="165" fontId="0" fillId="3" borderId="0" xfId="0" applyNumberFormat="1" applyFill="1" applyAlignment="1">
      <alignment horizontal="center"/>
    </xf>
    <xf numFmtId="0" fontId="13" fillId="3" borderId="0" xfId="0" applyFont="1" applyFill="1" applyAlignment="1">
      <alignment horizontal="center"/>
    </xf>
    <xf numFmtId="0" fontId="0" fillId="0" borderId="0" xfId="0" applyFill="1" applyAlignment="1">
      <alignment horizontal="center"/>
    </xf>
    <xf numFmtId="171" fontId="0" fillId="0" borderId="0" xfId="0" applyNumberFormat="1"/>
    <xf numFmtId="171" fontId="0" fillId="0" borderId="0" xfId="0" applyNumberFormat="1" applyAlignment="1">
      <alignment horizontal="center"/>
    </xf>
    <xf numFmtId="171" fontId="0" fillId="0" borderId="0" xfId="0" applyNumberFormat="1" applyFill="1" applyAlignment="1">
      <alignment horizontal="center"/>
    </xf>
    <xf numFmtId="2" fontId="0" fillId="0" borderId="0" xfId="0" applyNumberFormat="1" applyFill="1" applyAlignment="1">
      <alignment horizontal="center"/>
    </xf>
    <xf numFmtId="2" fontId="0" fillId="0" borderId="0" xfId="0" applyNumberFormat="1" applyAlignment="1">
      <alignment horizontal="center"/>
    </xf>
    <xf numFmtId="0" fontId="0" fillId="13" borderId="0" xfId="0" applyFill="1"/>
    <xf numFmtId="171" fontId="0" fillId="13" borderId="0" xfId="0" applyNumberFormat="1" applyFill="1"/>
    <xf numFmtId="171" fontId="0" fillId="13" borderId="0" xfId="0" applyNumberFormat="1" applyFill="1" applyAlignment="1">
      <alignment horizontal="center"/>
    </xf>
    <xf numFmtId="167" fontId="0" fillId="13" borderId="0" xfId="0" applyNumberFormat="1" applyFill="1" applyAlignment="1">
      <alignment horizontal="center"/>
    </xf>
    <xf numFmtId="174" fontId="0" fillId="13" borderId="0" xfId="0" applyNumberFormat="1" applyFill="1" applyAlignment="1">
      <alignment horizontal="center"/>
    </xf>
    <xf numFmtId="173" fontId="0" fillId="13" borderId="0" xfId="0" applyNumberFormat="1" applyFill="1" applyAlignment="1">
      <alignment horizontal="center"/>
    </xf>
    <xf numFmtId="165" fontId="0" fillId="13" borderId="0" xfId="0" applyNumberFormat="1" applyFill="1" applyAlignment="1">
      <alignment horizontal="center"/>
    </xf>
    <xf numFmtId="168" fontId="0" fillId="13" borderId="0" xfId="0" applyNumberFormat="1" applyFill="1" applyAlignment="1">
      <alignment horizontal="center"/>
    </xf>
    <xf numFmtId="1" fontId="0" fillId="13" borderId="0" xfId="0" applyNumberFormat="1" applyFill="1" applyAlignment="1">
      <alignment horizontal="center"/>
    </xf>
    <xf numFmtId="0" fontId="0" fillId="14" borderId="0" xfId="0" applyFill="1"/>
    <xf numFmtId="171" fontId="0" fillId="14" borderId="0" xfId="0" applyNumberFormat="1" applyFill="1"/>
    <xf numFmtId="171" fontId="0" fillId="14" borderId="0" xfId="0" applyNumberFormat="1" applyFill="1" applyAlignment="1">
      <alignment horizontal="center"/>
    </xf>
    <xf numFmtId="167" fontId="0" fillId="14" borderId="0" xfId="0" applyNumberFormat="1" applyFill="1" applyAlignment="1">
      <alignment horizontal="center"/>
    </xf>
    <xf numFmtId="174" fontId="0" fillId="14" borderId="0" xfId="0" applyNumberFormat="1" applyFill="1" applyAlignment="1">
      <alignment horizontal="center"/>
    </xf>
    <xf numFmtId="173" fontId="0" fillId="14" borderId="0" xfId="0" applyNumberFormat="1" applyFill="1" applyAlignment="1">
      <alignment horizontal="center"/>
    </xf>
    <xf numFmtId="165" fontId="0" fillId="14" borderId="0" xfId="0" applyNumberFormat="1" applyFill="1" applyAlignment="1">
      <alignment horizontal="center"/>
    </xf>
    <xf numFmtId="168" fontId="0" fillId="14" borderId="0" xfId="0" applyNumberFormat="1" applyFill="1" applyAlignment="1">
      <alignment horizontal="center"/>
    </xf>
    <xf numFmtId="1" fontId="0" fillId="14" borderId="0" xfId="0" applyNumberFormat="1" applyFill="1" applyAlignment="1">
      <alignment horizontal="center"/>
    </xf>
    <xf numFmtId="0" fontId="0" fillId="15" borderId="0" xfId="0" applyFill="1"/>
    <xf numFmtId="171" fontId="0" fillId="16" borderId="0" xfId="0" applyNumberFormat="1" applyFill="1"/>
    <xf numFmtId="171" fontId="0" fillId="16" borderId="0" xfId="0" applyNumberFormat="1" applyFill="1" applyAlignment="1">
      <alignment horizontal="center"/>
    </xf>
    <xf numFmtId="167" fontId="0" fillId="16" borderId="0" xfId="0" applyNumberFormat="1" applyFill="1" applyAlignment="1">
      <alignment horizontal="center"/>
    </xf>
    <xf numFmtId="174" fontId="0" fillId="16" borderId="0" xfId="0" applyNumberFormat="1" applyFill="1" applyAlignment="1">
      <alignment horizontal="center"/>
    </xf>
    <xf numFmtId="1" fontId="0" fillId="16" borderId="0" xfId="0" applyNumberFormat="1" applyFill="1" applyAlignment="1">
      <alignment horizontal="center"/>
    </xf>
    <xf numFmtId="168" fontId="0" fillId="16" borderId="0" xfId="0" applyNumberFormat="1" applyFill="1" applyAlignment="1">
      <alignment horizontal="center"/>
    </xf>
    <xf numFmtId="165" fontId="0" fillId="16" borderId="0" xfId="0" applyNumberFormat="1" applyFill="1" applyAlignment="1">
      <alignment horizontal="center"/>
    </xf>
    <xf numFmtId="171" fontId="0" fillId="3" borderId="0" xfId="0" applyNumberFormat="1" applyFill="1"/>
    <xf numFmtId="171" fontId="0" fillId="3" borderId="0" xfId="0" applyNumberFormat="1" applyFill="1" applyAlignment="1">
      <alignment horizontal="center"/>
    </xf>
    <xf numFmtId="174" fontId="0" fillId="3" borderId="0" xfId="0" applyNumberFormat="1" applyFill="1" applyAlignment="1">
      <alignment horizontal="center"/>
    </xf>
    <xf numFmtId="1" fontId="0" fillId="3" borderId="0" xfId="0" applyNumberFormat="1" applyFill="1" applyAlignment="1">
      <alignment horizontal="center"/>
    </xf>
    <xf numFmtId="168" fontId="0" fillId="3" borderId="0" xfId="0" applyNumberFormat="1" applyFill="1" applyAlignment="1">
      <alignment horizontal="center"/>
    </xf>
    <xf numFmtId="173" fontId="0" fillId="3" borderId="0" xfId="0" applyNumberFormat="1" applyFill="1" applyAlignment="1">
      <alignment horizontal="center"/>
    </xf>
    <xf numFmtId="0" fontId="3" fillId="0" borderId="1" xfId="0" applyFont="1" applyFill="1" applyBorder="1" applyAlignment="1">
      <alignment horizontal="center"/>
    </xf>
    <xf numFmtId="165" fontId="0" fillId="0" borderId="0" xfId="0" applyNumberFormat="1"/>
    <xf numFmtId="2" fontId="0" fillId="0" borderId="0" xfId="0" applyNumberFormat="1"/>
    <xf numFmtId="165" fontId="0" fillId="0" borderId="0" xfId="0" applyNumberFormat="1" applyFill="1"/>
    <xf numFmtId="166" fontId="0" fillId="0" borderId="0" xfId="0" applyNumberFormat="1" applyFill="1" applyBorder="1"/>
    <xf numFmtId="2" fontId="0" fillId="0" borderId="0" xfId="0" applyNumberFormat="1" applyFill="1" applyBorder="1"/>
    <xf numFmtId="0" fontId="15" fillId="0" borderId="0" xfId="0" applyFont="1" applyFill="1" applyBorder="1"/>
    <xf numFmtId="0" fontId="0" fillId="0" borderId="1" xfId="0" applyFill="1" applyBorder="1"/>
    <xf numFmtId="0" fontId="0" fillId="21" borderId="0" xfId="0" applyFill="1"/>
    <xf numFmtId="2" fontId="0" fillId="13" borderId="31" xfId="0" applyNumberFormat="1" applyFill="1" applyBorder="1"/>
    <xf numFmtId="2" fontId="0" fillId="13" borderId="23" xfId="0" applyNumberFormat="1" applyFill="1" applyBorder="1"/>
    <xf numFmtId="2" fontId="0" fillId="14" borderId="22" xfId="0" applyNumberFormat="1" applyFill="1" applyBorder="1"/>
    <xf numFmtId="2" fontId="0" fillId="14" borderId="31" xfId="0" applyNumberFormat="1" applyFill="1" applyBorder="1"/>
    <xf numFmtId="0" fontId="0" fillId="14" borderId="31" xfId="0" applyFill="1" applyBorder="1"/>
    <xf numFmtId="2" fontId="0" fillId="13" borderId="0" xfId="0" applyNumberFormat="1" applyFill="1" applyBorder="1"/>
    <xf numFmtId="2" fontId="0" fillId="13" borderId="25" xfId="0" applyNumberFormat="1" applyFill="1" applyBorder="1"/>
    <xf numFmtId="2" fontId="0" fillId="14" borderId="24" xfId="0" applyNumberFormat="1" applyFill="1" applyBorder="1"/>
    <xf numFmtId="2" fontId="0" fillId="14" borderId="0" xfId="0" applyNumberFormat="1" applyFill="1" applyBorder="1"/>
    <xf numFmtId="0" fontId="0" fillId="14" borderId="0" xfId="0" applyFill="1" applyBorder="1"/>
    <xf numFmtId="2" fontId="0" fillId="13" borderId="22" xfId="0" applyNumberFormat="1" applyFill="1" applyBorder="1"/>
    <xf numFmtId="0" fontId="0" fillId="13" borderId="31" xfId="0" applyFill="1" applyBorder="1"/>
    <xf numFmtId="2" fontId="0" fillId="13" borderId="24" xfId="0" applyNumberFormat="1" applyFill="1" applyBorder="1"/>
    <xf numFmtId="0" fontId="0" fillId="13" borderId="0" xfId="0" applyFill="1" applyBorder="1"/>
    <xf numFmtId="2" fontId="0" fillId="0" borderId="0" xfId="0" applyNumberFormat="1" applyFill="1"/>
    <xf numFmtId="0" fontId="0" fillId="22" borderId="0" xfId="0" applyFill="1"/>
    <xf numFmtId="170" fontId="0" fillId="0" borderId="0" xfId="0" applyNumberFormat="1"/>
    <xf numFmtId="2" fontId="17" fillId="0" borderId="1" xfId="2" applyNumberFormat="1" applyFont="1" applyBorder="1" applyAlignment="1" applyProtection="1">
      <alignment horizontal="center" vertical="center"/>
      <protection locked="0"/>
    </xf>
    <xf numFmtId="0" fontId="0" fillId="0" borderId="1" xfId="0" applyFont="1" applyBorder="1"/>
    <xf numFmtId="2" fontId="17" fillId="0" borderId="1" xfId="2" applyNumberFormat="1" applyFont="1" applyFill="1" applyBorder="1" applyAlignment="1" applyProtection="1">
      <alignment horizontal="center" vertical="center"/>
      <protection locked="0"/>
    </xf>
    <xf numFmtId="0" fontId="0" fillId="0" borderId="1" xfId="0" applyFont="1" applyFill="1" applyBorder="1"/>
    <xf numFmtId="0" fontId="0" fillId="0" borderId="0" xfId="0" applyFont="1"/>
    <xf numFmtId="165" fontId="0" fillId="0" borderId="1" xfId="0" applyNumberFormat="1" applyFont="1" applyBorder="1"/>
    <xf numFmtId="165" fontId="0" fillId="0" borderId="1" xfId="0" applyNumberFormat="1" applyBorder="1"/>
    <xf numFmtId="0" fontId="0" fillId="0" borderId="0" xfId="0" applyFont="1" applyFill="1"/>
    <xf numFmtId="2" fontId="0" fillId="0" borderId="1" xfId="0" applyNumberFormat="1" applyFont="1" applyFill="1" applyBorder="1"/>
    <xf numFmtId="2" fontId="0" fillId="0" borderId="1" xfId="0" applyNumberFormat="1" applyFont="1" applyBorder="1"/>
    <xf numFmtId="0" fontId="4" fillId="0" borderId="1" xfId="1" applyBorder="1"/>
    <xf numFmtId="0" fontId="0" fillId="13" borderId="23" xfId="0" applyFill="1" applyBorder="1"/>
    <xf numFmtId="0" fontId="0" fillId="13" borderId="24" xfId="0" applyFill="1" applyBorder="1"/>
    <xf numFmtId="2" fontId="3" fillId="13" borderId="24" xfId="0" applyNumberFormat="1" applyFont="1" applyFill="1" applyBorder="1"/>
    <xf numFmtId="0" fontId="3" fillId="13" borderId="0" xfId="0" applyFont="1" applyFill="1"/>
    <xf numFmtId="2" fontId="3" fillId="13" borderId="0" xfId="0" applyNumberFormat="1" applyFont="1" applyFill="1" applyBorder="1"/>
    <xf numFmtId="0" fontId="3" fillId="13" borderId="0" xfId="0" applyFont="1" applyFill="1" applyBorder="1"/>
    <xf numFmtId="0" fontId="0" fillId="13" borderId="32" xfId="0" applyFill="1" applyBorder="1"/>
    <xf numFmtId="0" fontId="10" fillId="0" borderId="1" xfId="0" applyFont="1" applyBorder="1"/>
    <xf numFmtId="0" fontId="3" fillId="0" borderId="32" xfId="0" applyFont="1" applyBorder="1"/>
    <xf numFmtId="0" fontId="0" fillId="0" borderId="32" xfId="0" applyBorder="1"/>
    <xf numFmtId="0" fontId="9" fillId="13" borderId="25" xfId="0" applyFont="1" applyFill="1" applyBorder="1"/>
    <xf numFmtId="0" fontId="21" fillId="13" borderId="25" xfId="0" applyFont="1" applyFill="1" applyBorder="1"/>
    <xf numFmtId="0" fontId="22" fillId="13" borderId="25" xfId="0" applyFont="1" applyFill="1" applyBorder="1"/>
    <xf numFmtId="0" fontId="22" fillId="13" borderId="23" xfId="0" applyFont="1" applyFill="1" applyBorder="1"/>
    <xf numFmtId="0" fontId="19" fillId="14" borderId="25" xfId="0" applyFont="1" applyFill="1" applyBorder="1"/>
    <xf numFmtId="0" fontId="20" fillId="14" borderId="25" xfId="0" applyFont="1" applyFill="1" applyBorder="1"/>
    <xf numFmtId="0" fontId="9" fillId="14" borderId="25" xfId="0" applyFont="1" applyFill="1" applyBorder="1"/>
    <xf numFmtId="0" fontId="20" fillId="14" borderId="23" xfId="0" applyFont="1" applyFill="1" applyBorder="1"/>
    <xf numFmtId="0" fontId="3" fillId="14" borderId="0" xfId="0" applyFont="1" applyFill="1" applyBorder="1"/>
    <xf numFmtId="2" fontId="3" fillId="14" borderId="0" xfId="0" applyNumberFormat="1" applyFont="1" applyFill="1" applyBorder="1"/>
    <xf numFmtId="2" fontId="3" fillId="14" borderId="0" xfId="0" applyNumberFormat="1" applyFont="1" applyFill="1"/>
    <xf numFmtId="2" fontId="3" fillId="14" borderId="24" xfId="0" applyNumberFormat="1" applyFont="1" applyFill="1" applyBorder="1"/>
    <xf numFmtId="0" fontId="0" fillId="0" borderId="32" xfId="0" applyFill="1" applyBorder="1"/>
    <xf numFmtId="0" fontId="3" fillId="0" borderId="0" xfId="0" applyFont="1" applyFill="1"/>
    <xf numFmtId="0" fontId="0" fillId="0" borderId="31" xfId="0" applyFill="1" applyBorder="1"/>
    <xf numFmtId="0" fontId="3" fillId="0" borderId="0" xfId="0" applyFont="1" applyFill="1" applyBorder="1"/>
    <xf numFmtId="0" fontId="3" fillId="0" borderId="1" xfId="0" applyFont="1" applyFill="1" applyBorder="1"/>
    <xf numFmtId="0" fontId="15" fillId="0" borderId="32" xfId="0" applyFont="1" applyFill="1" applyBorder="1"/>
    <xf numFmtId="2" fontId="0" fillId="0" borderId="32" xfId="0" applyNumberFormat="1" applyFill="1" applyBorder="1"/>
    <xf numFmtId="166" fontId="0" fillId="0" borderId="32" xfId="0" applyNumberFormat="1" applyFill="1" applyBorder="1"/>
    <xf numFmtId="165" fontId="0" fillId="0" borderId="32" xfId="0" applyNumberFormat="1" applyFill="1" applyBorder="1"/>
    <xf numFmtId="166" fontId="0" fillId="13" borderId="0" xfId="0" applyNumberFormat="1" applyFill="1" applyBorder="1"/>
    <xf numFmtId="165" fontId="0" fillId="13" borderId="0" xfId="0" applyNumberFormat="1" applyFill="1" applyBorder="1"/>
    <xf numFmtId="165" fontId="0" fillId="0" borderId="0" xfId="0" applyNumberFormat="1" applyBorder="1"/>
    <xf numFmtId="0" fontId="0" fillId="13" borderId="27" xfId="0" applyFill="1" applyBorder="1"/>
    <xf numFmtId="166" fontId="0" fillId="13" borderId="32" xfId="0" applyNumberFormat="1" applyFill="1" applyBorder="1"/>
    <xf numFmtId="165" fontId="0" fillId="13" borderId="26" xfId="0" applyNumberFormat="1" applyFill="1" applyBorder="1"/>
    <xf numFmtId="165" fontId="0" fillId="13" borderId="24" xfId="0" applyNumberFormat="1" applyFill="1" applyBorder="1"/>
    <xf numFmtId="0" fontId="0" fillId="13" borderId="25" xfId="0" applyFill="1" applyBorder="1"/>
    <xf numFmtId="166" fontId="0" fillId="13" borderId="31" xfId="0" applyNumberFormat="1" applyFill="1" applyBorder="1"/>
    <xf numFmtId="165" fontId="0" fillId="13" borderId="22" xfId="0" applyNumberFormat="1" applyFill="1" applyBorder="1"/>
    <xf numFmtId="0" fontId="24" fillId="0" borderId="0" xfId="0" applyFont="1"/>
    <xf numFmtId="165" fontId="0" fillId="13" borderId="32" xfId="0" applyNumberFormat="1" applyFill="1" applyBorder="1"/>
    <xf numFmtId="165" fontId="0" fillId="0" borderId="24" xfId="0" applyNumberFormat="1" applyBorder="1"/>
    <xf numFmtId="0" fontId="0" fillId="0" borderId="24" xfId="0" applyFill="1" applyBorder="1"/>
    <xf numFmtId="165" fontId="0" fillId="13" borderId="31" xfId="0" applyNumberFormat="1" applyFill="1" applyBorder="1"/>
    <xf numFmtId="165" fontId="0" fillId="0" borderId="22" xfId="0" applyNumberFormat="1" applyBorder="1"/>
    <xf numFmtId="0" fontId="3" fillId="0" borderId="27" xfId="0" applyFont="1" applyBorder="1"/>
    <xf numFmtId="165" fontId="0" fillId="0" borderId="25" xfId="0" applyNumberFormat="1" applyBorder="1"/>
    <xf numFmtId="2" fontId="16" fillId="18" borderId="0" xfId="0" applyNumberFormat="1" applyFont="1" applyFill="1" applyBorder="1"/>
    <xf numFmtId="165" fontId="0" fillId="0" borderId="25" xfId="0" applyNumberFormat="1" applyFill="1" applyBorder="1"/>
    <xf numFmtId="2" fontId="16" fillId="4" borderId="0" xfId="0" applyNumberFormat="1" applyFont="1" applyFill="1" applyBorder="1"/>
    <xf numFmtId="2" fontId="16" fillId="17" borderId="0" xfId="0" applyNumberFormat="1" applyFont="1" applyFill="1" applyBorder="1"/>
    <xf numFmtId="165" fontId="0" fillId="20" borderId="25" xfId="0" applyNumberFormat="1" applyFill="1" applyBorder="1"/>
    <xf numFmtId="2" fontId="16" fillId="19" borderId="0" xfId="0" applyNumberFormat="1" applyFont="1" applyFill="1" applyBorder="1"/>
    <xf numFmtId="165" fontId="0" fillId="0" borderId="23" xfId="0" applyNumberFormat="1" applyBorder="1"/>
    <xf numFmtId="165" fontId="0" fillId="0" borderId="31" xfId="0" applyNumberFormat="1" applyBorder="1"/>
    <xf numFmtId="2" fontId="0" fillId="0" borderId="7" xfId="0" applyNumberFormat="1" applyBorder="1"/>
    <xf numFmtId="0" fontId="3" fillId="0" borderId="26" xfId="0" applyFont="1" applyBorder="1"/>
    <xf numFmtId="0" fontId="0" fillId="0" borderId="25" xfId="0" applyFill="1" applyBorder="1"/>
    <xf numFmtId="0" fontId="0" fillId="0" borderId="31" xfId="0" applyBorder="1"/>
    <xf numFmtId="168" fontId="0" fillId="13" borderId="25" xfId="0" applyNumberFormat="1" applyFill="1" applyBorder="1"/>
    <xf numFmtId="168" fontId="0" fillId="14" borderId="0" xfId="0" applyNumberFormat="1" applyFill="1" applyBorder="1"/>
    <xf numFmtId="0" fontId="0" fillId="14" borderId="0" xfId="0" applyNumberFormat="1" applyFill="1"/>
    <xf numFmtId="0" fontId="0" fillId="0" borderId="0" xfId="0" applyFill="1" applyAlignment="1"/>
    <xf numFmtId="0" fontId="0" fillId="0" borderId="0" xfId="0" applyFill="1" applyAlignment="1">
      <alignment horizontal="right"/>
    </xf>
    <xf numFmtId="2" fontId="0" fillId="0" borderId="32" xfId="0" applyNumberFormat="1" applyBorder="1"/>
    <xf numFmtId="0" fontId="18" fillId="0" borderId="0" xfId="0" applyFont="1" applyFill="1" applyBorder="1"/>
    <xf numFmtId="168" fontId="0" fillId="0" borderId="0" xfId="0" applyNumberFormat="1" applyBorder="1"/>
    <xf numFmtId="175" fontId="0" fillId="0" borderId="0" xfId="0" applyNumberFormat="1" applyBorder="1"/>
    <xf numFmtId="167" fontId="0" fillId="0" borderId="0" xfId="0" applyNumberFormat="1" applyBorder="1"/>
    <xf numFmtId="168" fontId="0" fillId="4" borderId="1" xfId="0" applyNumberFormat="1" applyFill="1" applyBorder="1"/>
    <xf numFmtId="175" fontId="0" fillId="4" borderId="1" xfId="0" applyNumberFormat="1" applyFill="1" applyBorder="1"/>
    <xf numFmtId="167" fontId="0" fillId="4" borderId="1" xfId="0" applyNumberFormat="1" applyFill="1" applyBorder="1"/>
    <xf numFmtId="168" fontId="0" fillId="0" borderId="2" xfId="0" applyNumberFormat="1" applyBorder="1"/>
    <xf numFmtId="168" fontId="0" fillId="0" borderId="2" xfId="0" applyNumberFormat="1" applyFill="1" applyBorder="1"/>
    <xf numFmtId="2" fontId="0" fillId="4" borderId="0" xfId="0" applyNumberFormat="1" applyFill="1" applyBorder="1"/>
    <xf numFmtId="2" fontId="0" fillId="4" borderId="1" xfId="0" applyNumberFormat="1" applyFill="1" applyBorder="1"/>
    <xf numFmtId="168" fontId="0" fillId="4" borderId="6" xfId="0" applyNumberFormat="1" applyFill="1" applyBorder="1"/>
    <xf numFmtId="168" fontId="0" fillId="4" borderId="7" xfId="0" applyNumberFormat="1" applyFill="1" applyBorder="1"/>
    <xf numFmtId="2" fontId="0" fillId="4" borderId="7" xfId="0" applyNumberFormat="1" applyFill="1" applyBorder="1"/>
    <xf numFmtId="175" fontId="0" fillId="4" borderId="7" xfId="0" applyNumberFormat="1" applyFill="1" applyBorder="1"/>
    <xf numFmtId="167" fontId="0" fillId="4" borderId="7" xfId="0" applyNumberFormat="1" applyFill="1" applyBorder="1"/>
    <xf numFmtId="0" fontId="0" fillId="4" borderId="8" xfId="0" applyFill="1" applyBorder="1"/>
    <xf numFmtId="168" fontId="0" fillId="4" borderId="9" xfId="0" applyNumberFormat="1" applyFill="1" applyBorder="1"/>
    <xf numFmtId="0" fontId="0" fillId="4" borderId="10" xfId="0" applyFill="1" applyBorder="1"/>
    <xf numFmtId="168" fontId="0" fillId="4" borderId="11" xfId="0" applyNumberFormat="1" applyFill="1" applyBorder="1"/>
    <xf numFmtId="168" fontId="0" fillId="4" borderId="12" xfId="0" applyNumberFormat="1" applyFill="1" applyBorder="1"/>
    <xf numFmtId="2" fontId="0" fillId="4" borderId="12" xfId="0" applyNumberFormat="1" applyFill="1" applyBorder="1"/>
    <xf numFmtId="175" fontId="0" fillId="4" borderId="12" xfId="0" applyNumberFormat="1" applyFill="1" applyBorder="1"/>
    <xf numFmtId="167" fontId="0" fillId="4" borderId="12" xfId="0" applyNumberFormat="1" applyFill="1" applyBorder="1"/>
    <xf numFmtId="0" fontId="0" fillId="4" borderId="13" xfId="0" applyFill="1" applyBorder="1"/>
    <xf numFmtId="2" fontId="0" fillId="9" borderId="0" xfId="0" applyNumberFormat="1" applyFill="1" applyBorder="1"/>
    <xf numFmtId="170" fontId="0" fillId="0" borderId="0" xfId="0" applyNumberFormat="1" applyFill="1" applyBorder="1"/>
    <xf numFmtId="167" fontId="0" fillId="0" borderId="0" xfId="0" applyNumberFormat="1" applyFill="1" applyBorder="1"/>
    <xf numFmtId="173" fontId="0" fillId="0" borderId="0" xfId="0" applyNumberFormat="1" applyFill="1" applyBorder="1"/>
    <xf numFmtId="168" fontId="0" fillId="13" borderId="0" xfId="0" applyNumberFormat="1" applyFill="1" applyBorder="1"/>
    <xf numFmtId="175" fontId="0" fillId="13" borderId="0" xfId="0" applyNumberFormat="1" applyFill="1" applyBorder="1"/>
    <xf numFmtId="167" fontId="0" fillId="13" borderId="0" xfId="0" applyNumberFormat="1" applyFill="1" applyBorder="1"/>
    <xf numFmtId="168" fontId="0" fillId="13" borderId="30" xfId="0" applyNumberFormat="1" applyFill="1" applyBorder="1"/>
    <xf numFmtId="168" fontId="0" fillId="13" borderId="29" xfId="0" applyNumberFormat="1" applyFill="1" applyBorder="1"/>
    <xf numFmtId="2" fontId="0" fillId="13" borderId="29" xfId="0" applyNumberFormat="1" applyFill="1" applyBorder="1"/>
    <xf numFmtId="175" fontId="0" fillId="13" borderId="29" xfId="0" applyNumberFormat="1" applyFill="1" applyBorder="1"/>
    <xf numFmtId="167" fontId="0" fillId="13" borderId="29" xfId="0" applyNumberFormat="1" applyFill="1" applyBorder="1"/>
    <xf numFmtId="168" fontId="0" fillId="13" borderId="27" xfId="0" applyNumberFormat="1" applyFill="1" applyBorder="1"/>
    <xf numFmtId="168" fontId="0" fillId="13" borderId="32" xfId="0" applyNumberFormat="1" applyFill="1" applyBorder="1"/>
    <xf numFmtId="2" fontId="0" fillId="13" borderId="32" xfId="0" applyNumberFormat="1" applyFill="1" applyBorder="1"/>
    <xf numFmtId="175" fontId="0" fillId="13" borderId="32" xfId="0" applyNumberFormat="1" applyFill="1" applyBorder="1"/>
    <xf numFmtId="167" fontId="0" fillId="13" borderId="32" xfId="0" applyNumberFormat="1" applyFill="1" applyBorder="1"/>
    <xf numFmtId="0" fontId="0" fillId="13" borderId="26" xfId="0" applyFill="1" applyBorder="1"/>
    <xf numFmtId="0" fontId="0" fillId="13" borderId="28" xfId="0" applyFill="1" applyBorder="1"/>
    <xf numFmtId="168" fontId="0" fillId="14" borderId="24" xfId="0" applyNumberFormat="1" applyFill="1" applyBorder="1"/>
    <xf numFmtId="170" fontId="0" fillId="14" borderId="24" xfId="0" applyNumberFormat="1" applyFill="1" applyBorder="1"/>
    <xf numFmtId="0" fontId="0" fillId="0" borderId="0" xfId="0" applyNumberFormat="1" applyFill="1" applyBorder="1"/>
    <xf numFmtId="2" fontId="3" fillId="0" borderId="0" xfId="0" applyNumberFormat="1" applyFont="1"/>
    <xf numFmtId="2" fontId="3" fillId="0" borderId="0" xfId="0" applyNumberFormat="1" applyFont="1" applyFill="1" applyBorder="1"/>
    <xf numFmtId="176" fontId="0" fillId="0" borderId="0" xfId="0" applyNumberFormat="1" applyFill="1"/>
    <xf numFmtId="49" fontId="0" fillId="0" borderId="0" xfId="0" applyNumberFormat="1" applyBorder="1"/>
    <xf numFmtId="49" fontId="0" fillId="0" borderId="24" xfId="0" applyNumberFormat="1" applyBorder="1"/>
    <xf numFmtId="2" fontId="0" fillId="6" borderId="0" xfId="0" applyNumberFormat="1" applyFill="1" applyBorder="1"/>
    <xf numFmtId="168" fontId="0" fillId="6" borderId="4" xfId="0" applyNumberFormat="1" applyFill="1" applyBorder="1"/>
    <xf numFmtId="168" fontId="0" fillId="6" borderId="37" xfId="0" applyNumberFormat="1" applyFill="1" applyBorder="1"/>
    <xf numFmtId="2" fontId="0" fillId="6" borderId="37" xfId="0" applyNumberFormat="1" applyFill="1" applyBorder="1"/>
    <xf numFmtId="175" fontId="0" fillId="6" borderId="37" xfId="0" applyNumberFormat="1" applyFill="1" applyBorder="1"/>
    <xf numFmtId="167" fontId="0" fillId="6" borderId="37" xfId="0" applyNumberFormat="1" applyFill="1" applyBorder="1"/>
    <xf numFmtId="0" fontId="0" fillId="6" borderId="38" xfId="0" applyFill="1" applyBorder="1"/>
    <xf numFmtId="168" fontId="0" fillId="6" borderId="5" xfId="0" applyNumberFormat="1" applyFill="1" applyBorder="1"/>
    <xf numFmtId="168" fontId="0" fillId="6" borderId="0" xfId="0" applyNumberFormat="1" applyFill="1" applyBorder="1"/>
    <xf numFmtId="175" fontId="0" fillId="6" borderId="0" xfId="0" applyNumberFormat="1" applyFill="1" applyBorder="1"/>
    <xf numFmtId="167" fontId="0" fillId="6" borderId="0" xfId="0" applyNumberFormat="1" applyFill="1" applyBorder="1"/>
    <xf numFmtId="0" fontId="0" fillId="6" borderId="39" xfId="0" applyFill="1" applyBorder="1"/>
    <xf numFmtId="168" fontId="0" fillId="6" borderId="40" xfId="0" applyNumberFormat="1" applyFill="1" applyBorder="1"/>
    <xf numFmtId="168" fontId="0" fillId="6" borderId="41" xfId="0" applyNumberFormat="1" applyFill="1" applyBorder="1"/>
    <xf numFmtId="2" fontId="0" fillId="6" borderId="41" xfId="0" applyNumberFormat="1" applyFill="1" applyBorder="1"/>
    <xf numFmtId="175" fontId="0" fillId="6" borderId="41" xfId="0" applyNumberFormat="1" applyFill="1" applyBorder="1"/>
    <xf numFmtId="167" fontId="0" fillId="6" borderId="41" xfId="0" applyNumberFormat="1" applyFill="1" applyBorder="1"/>
    <xf numFmtId="0" fontId="0" fillId="6" borderId="42" xfId="0" applyFill="1" applyBorder="1"/>
    <xf numFmtId="168" fontId="0" fillId="6" borderId="30" xfId="0" applyNumberFormat="1" applyFill="1" applyBorder="1"/>
    <xf numFmtId="168" fontId="0" fillId="6" borderId="29" xfId="0" applyNumberFormat="1" applyFill="1" applyBorder="1"/>
    <xf numFmtId="2" fontId="0" fillId="6" borderId="29" xfId="0" applyNumberFormat="1" applyFill="1" applyBorder="1"/>
    <xf numFmtId="175" fontId="0" fillId="6" borderId="29" xfId="0" applyNumberFormat="1" applyFill="1" applyBorder="1"/>
    <xf numFmtId="167" fontId="0" fillId="6" borderId="29" xfId="0" applyNumberFormat="1" applyFill="1" applyBorder="1"/>
    <xf numFmtId="0" fontId="0" fillId="6" borderId="28" xfId="0" applyFill="1" applyBorder="1"/>
    <xf numFmtId="168" fontId="0" fillId="0" borderId="1" xfId="0" applyNumberFormat="1" applyBorder="1"/>
    <xf numFmtId="168" fontId="0" fillId="0" borderId="1" xfId="0" applyNumberFormat="1" applyFill="1" applyBorder="1"/>
    <xf numFmtId="168" fontId="0" fillId="0" borderId="0" xfId="0" applyNumberFormat="1" applyFill="1"/>
    <xf numFmtId="170" fontId="0" fillId="0" borderId="0" xfId="0" applyNumberFormat="1" applyFill="1"/>
    <xf numFmtId="173" fontId="0" fillId="0" borderId="0" xfId="0" applyNumberFormat="1" applyFill="1"/>
    <xf numFmtId="0" fontId="0" fillId="0" borderId="30" xfId="0" applyFill="1" applyBorder="1"/>
    <xf numFmtId="2" fontId="0" fillId="0" borderId="1" xfId="0" applyNumberFormat="1" applyBorder="1"/>
    <xf numFmtId="176" fontId="0" fillId="0" borderId="0" xfId="0" applyNumberFormat="1"/>
    <xf numFmtId="0" fontId="3" fillId="8" borderId="0" xfId="0" applyFont="1" applyFill="1" applyAlignment="1">
      <alignment horizontal="center"/>
    </xf>
    <xf numFmtId="0" fontId="3" fillId="9" borderId="0" xfId="0" applyFont="1" applyFill="1" applyAlignment="1">
      <alignment horizontal="center"/>
    </xf>
    <xf numFmtId="0" fontId="3" fillId="10" borderId="0" xfId="0" applyFont="1" applyFill="1" applyAlignment="1">
      <alignment horizontal="center"/>
    </xf>
    <xf numFmtId="0" fontId="3" fillId="11" borderId="0" xfId="0" applyFont="1" applyFill="1" applyAlignment="1">
      <alignment horizontal="center"/>
    </xf>
    <xf numFmtId="0" fontId="0" fillId="0" borderId="0" xfId="0" applyAlignment="1">
      <alignment horizontal="center"/>
    </xf>
    <xf numFmtId="0" fontId="0" fillId="23" borderId="0" xfId="0" applyFill="1"/>
    <xf numFmtId="0" fontId="0" fillId="24" borderId="0" xfId="0" applyFill="1"/>
    <xf numFmtId="0" fontId="0" fillId="25" borderId="0" xfId="0" applyFill="1"/>
    <xf numFmtId="0" fontId="0" fillId="27" borderId="0" xfId="0" applyFill="1"/>
    <xf numFmtId="0" fontId="25" fillId="26" borderId="0" xfId="0" applyFont="1" applyFill="1"/>
    <xf numFmtId="0" fontId="0" fillId="28" borderId="0" xfId="0" applyFill="1"/>
    <xf numFmtId="0" fontId="0" fillId="29" borderId="0" xfId="0" applyFill="1"/>
    <xf numFmtId="0" fontId="3" fillId="0" borderId="1" xfId="0" applyFont="1" applyBorder="1"/>
    <xf numFmtId="11" fontId="0" fillId="0" borderId="0" xfId="0" applyNumberFormat="1"/>
    <xf numFmtId="178" fontId="0" fillId="0" borderId="0" xfId="0" applyNumberFormat="1"/>
    <xf numFmtId="0" fontId="26" fillId="0" borderId="0" xfId="0" applyFont="1" applyAlignment="1"/>
    <xf numFmtId="0" fontId="27" fillId="0" borderId="43" xfId="0" applyFont="1" applyBorder="1" applyAlignment="1">
      <alignment vertical="center"/>
    </xf>
    <xf numFmtId="0" fontId="0" fillId="0" borderId="0" xfId="0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0" xfId="0"/>
    <xf numFmtId="0" fontId="0" fillId="30" borderId="0" xfId="0" applyFill="1"/>
    <xf numFmtId="0" fontId="0" fillId="30" borderId="0" xfId="0" applyFill="1" applyBorder="1"/>
    <xf numFmtId="2" fontId="0" fillId="30" borderId="0" xfId="0" applyNumberFormat="1" applyFill="1" applyBorder="1"/>
    <xf numFmtId="0" fontId="3" fillId="0" borderId="30" xfId="0" applyFont="1" applyFill="1" applyBorder="1" applyAlignment="1">
      <alignment horizontal="center"/>
    </xf>
    <xf numFmtId="171" fontId="0" fillId="3" borderId="25" xfId="0" applyNumberFormat="1" applyFill="1" applyBorder="1" applyAlignment="1">
      <alignment horizontal="center"/>
    </xf>
    <xf numFmtId="171" fontId="0" fillId="3" borderId="24" xfId="0" applyNumberFormat="1" applyFill="1" applyBorder="1" applyAlignment="1">
      <alignment horizontal="center"/>
    </xf>
    <xf numFmtId="171" fontId="0" fillId="16" borderId="25" xfId="0" applyNumberFormat="1" applyFill="1" applyBorder="1" applyAlignment="1">
      <alignment horizontal="center"/>
    </xf>
    <xf numFmtId="171" fontId="0" fillId="16" borderId="24" xfId="0" applyNumberFormat="1" applyFill="1" applyBorder="1" applyAlignment="1">
      <alignment horizontal="center"/>
    </xf>
    <xf numFmtId="0" fontId="0" fillId="14" borderId="25" xfId="0" applyFill="1" applyBorder="1"/>
    <xf numFmtId="171" fontId="0" fillId="14" borderId="24" xfId="0" applyNumberFormat="1" applyFill="1" applyBorder="1" applyAlignment="1">
      <alignment horizontal="center"/>
    </xf>
    <xf numFmtId="0" fontId="0" fillId="14" borderId="25" xfId="0" applyNumberFormat="1" applyFill="1" applyBorder="1"/>
    <xf numFmtId="171" fontId="0" fillId="13" borderId="24" xfId="0" applyNumberFormat="1" applyFill="1" applyBorder="1" applyAlignment="1">
      <alignment horizontal="center"/>
    </xf>
    <xf numFmtId="171" fontId="0" fillId="13" borderId="25" xfId="0" applyNumberFormat="1" applyFill="1" applyBorder="1" applyAlignment="1">
      <alignment horizontal="center"/>
    </xf>
    <xf numFmtId="171" fontId="0" fillId="13" borderId="23" xfId="0" applyNumberFormat="1" applyFill="1" applyBorder="1" applyAlignment="1">
      <alignment horizontal="center"/>
    </xf>
    <xf numFmtId="171" fontId="0" fillId="13" borderId="22" xfId="0" applyNumberFormat="1" applyFill="1" applyBorder="1" applyAlignment="1">
      <alignment horizontal="center"/>
    </xf>
    <xf numFmtId="1" fontId="0" fillId="3" borderId="25" xfId="0" applyNumberFormat="1" applyFill="1" applyBorder="1" applyAlignment="1">
      <alignment horizontal="center"/>
    </xf>
    <xf numFmtId="1" fontId="0" fillId="3" borderId="24" xfId="0" applyNumberFormat="1" applyFill="1" applyBorder="1" applyAlignment="1">
      <alignment horizontal="center"/>
    </xf>
    <xf numFmtId="1" fontId="0" fillId="16" borderId="25" xfId="0" applyNumberFormat="1" applyFill="1" applyBorder="1" applyAlignment="1">
      <alignment horizontal="center"/>
    </xf>
    <xf numFmtId="1" fontId="0" fillId="16" borderId="24" xfId="0" applyNumberFormat="1" applyFill="1" applyBorder="1" applyAlignment="1">
      <alignment horizontal="center"/>
    </xf>
    <xf numFmtId="1" fontId="0" fillId="14" borderId="25" xfId="0" applyNumberFormat="1" applyFill="1" applyBorder="1" applyAlignment="1">
      <alignment horizontal="center"/>
    </xf>
    <xf numFmtId="1" fontId="0" fillId="14" borderId="24" xfId="0" applyNumberFormat="1" applyFill="1" applyBorder="1" applyAlignment="1">
      <alignment horizontal="center"/>
    </xf>
    <xf numFmtId="1" fontId="0" fillId="13" borderId="25" xfId="0" applyNumberFormat="1" applyFill="1" applyBorder="1" applyAlignment="1">
      <alignment horizontal="center"/>
    </xf>
    <xf numFmtId="1" fontId="0" fillId="13" borderId="24" xfId="0" applyNumberFormat="1" applyFill="1" applyBorder="1" applyAlignment="1">
      <alignment horizontal="center"/>
    </xf>
    <xf numFmtId="1" fontId="0" fillId="13" borderId="23" xfId="0" applyNumberFormat="1" applyFill="1" applyBorder="1" applyAlignment="1">
      <alignment horizontal="center"/>
    </xf>
    <xf numFmtId="1" fontId="0" fillId="13" borderId="22" xfId="0" applyNumberFormat="1" applyFill="1" applyBorder="1" applyAlignment="1">
      <alignment horizontal="center"/>
    </xf>
    <xf numFmtId="1" fontId="0" fillId="3" borderId="0" xfId="0" applyNumberFormat="1" applyFill="1" applyBorder="1" applyAlignment="1">
      <alignment horizontal="center"/>
    </xf>
    <xf numFmtId="165" fontId="0" fillId="16" borderId="25" xfId="0" applyNumberFormat="1" applyFill="1" applyBorder="1" applyAlignment="1">
      <alignment horizontal="center"/>
    </xf>
    <xf numFmtId="165" fontId="0" fillId="16" borderId="0" xfId="0" applyNumberFormat="1" applyFill="1" applyBorder="1" applyAlignment="1">
      <alignment horizontal="center"/>
    </xf>
    <xf numFmtId="167" fontId="0" fillId="16" borderId="24" xfId="0" applyNumberFormat="1" applyFill="1" applyBorder="1" applyAlignment="1">
      <alignment horizontal="center"/>
    </xf>
    <xf numFmtId="1" fontId="0" fillId="16" borderId="0" xfId="0" applyNumberFormat="1" applyFill="1" applyBorder="1" applyAlignment="1">
      <alignment horizontal="center"/>
    </xf>
    <xf numFmtId="165" fontId="0" fillId="14" borderId="25" xfId="0" applyNumberFormat="1" applyFill="1" applyBorder="1" applyAlignment="1">
      <alignment horizontal="center"/>
    </xf>
    <xf numFmtId="165" fontId="0" fillId="14" borderId="0" xfId="0" applyNumberFormat="1" applyFill="1" applyBorder="1" applyAlignment="1">
      <alignment horizontal="center"/>
    </xf>
    <xf numFmtId="173" fontId="0" fillId="14" borderId="24" xfId="0" applyNumberFormat="1" applyFill="1" applyBorder="1" applyAlignment="1">
      <alignment horizontal="center"/>
    </xf>
    <xf numFmtId="165" fontId="0" fillId="13" borderId="25" xfId="0" applyNumberFormat="1" applyFill="1" applyBorder="1" applyAlignment="1">
      <alignment horizontal="center"/>
    </xf>
    <xf numFmtId="165" fontId="0" fillId="13" borderId="0" xfId="0" applyNumberFormat="1" applyFill="1" applyBorder="1" applyAlignment="1">
      <alignment horizontal="center"/>
    </xf>
    <xf numFmtId="173" fontId="0" fillId="13" borderId="24" xfId="0" applyNumberFormat="1" applyFill="1" applyBorder="1" applyAlignment="1">
      <alignment horizontal="center"/>
    </xf>
    <xf numFmtId="165" fontId="0" fillId="13" borderId="23" xfId="0" applyNumberFormat="1" applyFill="1" applyBorder="1" applyAlignment="1">
      <alignment horizontal="center"/>
    </xf>
    <xf numFmtId="165" fontId="0" fillId="13" borderId="31" xfId="0" applyNumberFormat="1" applyFill="1" applyBorder="1" applyAlignment="1">
      <alignment horizontal="center"/>
    </xf>
    <xf numFmtId="173" fontId="0" fillId="13" borderId="22" xfId="0" applyNumberFormat="1" applyFill="1" applyBorder="1" applyAlignment="1">
      <alignment horizontal="center"/>
    </xf>
    <xf numFmtId="0" fontId="3" fillId="0" borderId="49" xfId="0" applyFont="1" applyFill="1" applyBorder="1" applyAlignment="1">
      <alignment horizontal="center"/>
    </xf>
    <xf numFmtId="0" fontId="3" fillId="0" borderId="50" xfId="0" applyFont="1" applyFill="1" applyBorder="1" applyAlignment="1">
      <alignment horizontal="center"/>
    </xf>
    <xf numFmtId="0" fontId="3" fillId="0" borderId="37" xfId="0" applyFont="1" applyFill="1" applyBorder="1" applyAlignment="1">
      <alignment horizontal="center"/>
    </xf>
    <xf numFmtId="0" fontId="3" fillId="0" borderId="51" xfId="0" applyFont="1" applyFill="1" applyBorder="1" applyAlignment="1">
      <alignment horizontal="center"/>
    </xf>
    <xf numFmtId="0" fontId="3" fillId="0" borderId="38" xfId="0" applyFont="1" applyFill="1" applyBorder="1" applyAlignment="1">
      <alignment horizontal="center"/>
    </xf>
    <xf numFmtId="0" fontId="3" fillId="0" borderId="2" xfId="0" applyFont="1" applyFill="1" applyBorder="1" applyAlignment="1">
      <alignment horizontal="center"/>
    </xf>
    <xf numFmtId="0" fontId="3" fillId="0" borderId="4" xfId="0" applyFont="1" applyFill="1" applyBorder="1" applyAlignment="1">
      <alignment horizontal="center"/>
    </xf>
    <xf numFmtId="1" fontId="0" fillId="3" borderId="6" xfId="0" applyNumberFormat="1" applyFill="1" applyBorder="1" applyAlignment="1">
      <alignment horizontal="center"/>
    </xf>
    <xf numFmtId="1" fontId="0" fillId="3" borderId="8" xfId="0" applyNumberFormat="1" applyFill="1" applyBorder="1" applyAlignment="1">
      <alignment horizontal="center"/>
    </xf>
    <xf numFmtId="168" fontId="0" fillId="3" borderId="36" xfId="0" applyNumberFormat="1" applyFill="1" applyBorder="1" applyAlignment="1">
      <alignment horizontal="center"/>
    </xf>
    <xf numFmtId="165" fontId="0" fillId="3" borderId="6" xfId="0" applyNumberFormat="1" applyFill="1" applyBorder="1" applyAlignment="1">
      <alignment horizontal="center"/>
    </xf>
    <xf numFmtId="165" fontId="0" fillId="3" borderId="7" xfId="0" applyNumberFormat="1" applyFill="1" applyBorder="1" applyAlignment="1">
      <alignment horizontal="center"/>
    </xf>
    <xf numFmtId="173" fontId="0" fillId="3" borderId="8" xfId="0" applyNumberFormat="1" applyFill="1" applyBorder="1" applyAlignment="1">
      <alignment horizontal="center"/>
    </xf>
    <xf numFmtId="174" fontId="0" fillId="3" borderId="44" xfId="0" applyNumberFormat="1" applyFill="1" applyBorder="1" applyAlignment="1">
      <alignment horizontal="center"/>
    </xf>
    <xf numFmtId="171" fontId="0" fillId="3" borderId="7" xfId="0" applyNumberFormat="1" applyFill="1" applyBorder="1" applyAlignment="1">
      <alignment horizontal="center"/>
    </xf>
    <xf numFmtId="171" fontId="0" fillId="3" borderId="45" xfId="0" applyNumberFormat="1" applyFill="1" applyBorder="1" applyAlignment="1">
      <alignment horizontal="center"/>
    </xf>
    <xf numFmtId="171" fontId="0" fillId="3" borderId="6" xfId="0" applyNumberFormat="1" applyFill="1" applyBorder="1" applyAlignment="1">
      <alignment horizontal="center"/>
    </xf>
    <xf numFmtId="171" fontId="0" fillId="3" borderId="8" xfId="0" applyNumberFormat="1" applyFill="1" applyBorder="1" applyAlignment="1">
      <alignment horizontal="center"/>
    </xf>
    <xf numFmtId="171" fontId="0" fillId="3" borderId="44" xfId="0" applyNumberFormat="1" applyFill="1" applyBorder="1" applyAlignment="1">
      <alignment horizontal="center"/>
    </xf>
    <xf numFmtId="167" fontId="0" fillId="3" borderId="7" xfId="0" applyNumberFormat="1" applyFill="1" applyBorder="1" applyAlignment="1">
      <alignment horizontal="center"/>
    </xf>
    <xf numFmtId="171" fontId="0" fillId="3" borderId="7" xfId="0" applyNumberFormat="1" applyFill="1" applyBorder="1"/>
    <xf numFmtId="171" fontId="0" fillId="3" borderId="8" xfId="0" applyNumberFormat="1" applyFill="1" applyBorder="1"/>
    <xf numFmtId="1" fontId="0" fillId="3" borderId="11" xfId="0" applyNumberFormat="1" applyFill="1" applyBorder="1" applyAlignment="1">
      <alignment horizontal="center"/>
    </xf>
    <xf numFmtId="1" fontId="0" fillId="3" borderId="13" xfId="0" applyNumberFormat="1" applyFill="1" applyBorder="1" applyAlignment="1">
      <alignment horizontal="center"/>
    </xf>
    <xf numFmtId="168" fontId="0" fillId="3" borderId="46" xfId="0" applyNumberFormat="1" applyFill="1" applyBorder="1" applyAlignment="1">
      <alignment horizontal="center"/>
    </xf>
    <xf numFmtId="168" fontId="0" fillId="3" borderId="11" xfId="0" applyNumberFormat="1" applyFill="1" applyBorder="1" applyAlignment="1">
      <alignment horizontal="center"/>
    </xf>
    <xf numFmtId="165" fontId="0" fillId="3" borderId="12" xfId="0" applyNumberFormat="1" applyFill="1" applyBorder="1" applyAlignment="1">
      <alignment horizontal="center"/>
    </xf>
    <xf numFmtId="173" fontId="0" fillId="3" borderId="13" xfId="0" applyNumberFormat="1" applyFill="1" applyBorder="1" applyAlignment="1">
      <alignment horizontal="center"/>
    </xf>
    <xf numFmtId="174" fontId="0" fillId="3" borderId="47" xfId="0" applyNumberFormat="1" applyFill="1" applyBorder="1" applyAlignment="1">
      <alignment horizontal="center"/>
    </xf>
    <xf numFmtId="171" fontId="0" fillId="3" borderId="12" xfId="0" applyNumberFormat="1" applyFill="1" applyBorder="1" applyAlignment="1">
      <alignment horizontal="center"/>
    </xf>
    <xf numFmtId="171" fontId="0" fillId="3" borderId="48" xfId="0" applyNumberFormat="1" applyFill="1" applyBorder="1" applyAlignment="1">
      <alignment horizontal="center"/>
    </xf>
    <xf numFmtId="171" fontId="0" fillId="3" borderId="11" xfId="0" applyNumberFormat="1" applyFill="1" applyBorder="1" applyAlignment="1">
      <alignment horizontal="center"/>
    </xf>
    <xf numFmtId="171" fontId="0" fillId="3" borderId="13" xfId="0" applyNumberFormat="1" applyFill="1" applyBorder="1" applyAlignment="1">
      <alignment horizontal="center"/>
    </xf>
    <xf numFmtId="171" fontId="0" fillId="3" borderId="47" xfId="0" applyNumberFormat="1" applyFill="1" applyBorder="1" applyAlignment="1">
      <alignment horizontal="center"/>
    </xf>
    <xf numFmtId="167" fontId="0" fillId="3" borderId="12" xfId="0" applyNumberFormat="1" applyFill="1" applyBorder="1" applyAlignment="1">
      <alignment horizontal="center"/>
    </xf>
    <xf numFmtId="171" fontId="0" fillId="3" borderId="12" xfId="0" applyNumberFormat="1" applyFill="1" applyBorder="1"/>
    <xf numFmtId="171" fontId="0" fillId="3" borderId="13" xfId="0" applyNumberFormat="1" applyFill="1" applyBorder="1"/>
    <xf numFmtId="1" fontId="0" fillId="0" borderId="9" xfId="0" applyNumberFormat="1" applyFill="1" applyBorder="1" applyAlignment="1">
      <alignment horizontal="center"/>
    </xf>
    <xf numFmtId="1" fontId="0" fillId="0" borderId="10" xfId="0" applyNumberFormat="1" applyFill="1" applyBorder="1" applyAlignment="1">
      <alignment horizontal="center"/>
    </xf>
    <xf numFmtId="168" fontId="0" fillId="0" borderId="29" xfId="0" applyNumberFormat="1" applyFill="1" applyBorder="1" applyAlignment="1">
      <alignment horizontal="center"/>
    </xf>
    <xf numFmtId="165" fontId="0" fillId="0" borderId="9" xfId="0" applyNumberFormat="1" applyFill="1" applyBorder="1" applyAlignment="1">
      <alignment horizontal="center"/>
    </xf>
    <xf numFmtId="165" fontId="0" fillId="0" borderId="1" xfId="0" applyNumberFormat="1" applyFill="1" applyBorder="1" applyAlignment="1">
      <alignment horizontal="center"/>
    </xf>
    <xf numFmtId="173" fontId="0" fillId="0" borderId="10" xfId="0" applyNumberFormat="1" applyFill="1" applyBorder="1" applyAlignment="1">
      <alignment horizontal="center"/>
    </xf>
    <xf numFmtId="174" fontId="0" fillId="0" borderId="28" xfId="0" applyNumberFormat="1" applyFill="1" applyBorder="1" applyAlignment="1">
      <alignment horizontal="center"/>
    </xf>
    <xf numFmtId="171" fontId="0" fillId="0" borderId="1" xfId="0" applyNumberFormat="1" applyFill="1" applyBorder="1" applyAlignment="1">
      <alignment horizontal="center"/>
    </xf>
    <xf numFmtId="171" fontId="0" fillId="0" borderId="30" xfId="0" applyNumberFormat="1" applyFill="1" applyBorder="1" applyAlignment="1">
      <alignment horizontal="center"/>
    </xf>
    <xf numFmtId="171" fontId="0" fillId="0" borderId="10" xfId="0" applyNumberFormat="1" applyFill="1" applyBorder="1" applyAlignment="1">
      <alignment horizontal="center"/>
    </xf>
    <xf numFmtId="171" fontId="0" fillId="0" borderId="28" xfId="0" applyNumberFormat="1" applyFill="1" applyBorder="1" applyAlignment="1">
      <alignment horizontal="center"/>
    </xf>
    <xf numFmtId="167" fontId="0" fillId="0" borderId="1" xfId="0" applyNumberFormat="1" applyFill="1" applyBorder="1" applyAlignment="1">
      <alignment horizontal="center"/>
    </xf>
    <xf numFmtId="171" fontId="0" fillId="0" borderId="1" xfId="0" applyNumberFormat="1" applyFill="1" applyBorder="1"/>
    <xf numFmtId="171" fontId="0" fillId="0" borderId="10" xfId="0" applyNumberFormat="1" applyFill="1" applyBorder="1"/>
    <xf numFmtId="1" fontId="0" fillId="0" borderId="11" xfId="0" applyNumberFormat="1" applyFill="1" applyBorder="1" applyAlignment="1">
      <alignment horizontal="center"/>
    </xf>
    <xf numFmtId="1" fontId="0" fillId="0" borderId="13" xfId="0" applyNumberFormat="1" applyFill="1" applyBorder="1" applyAlignment="1">
      <alignment horizontal="center"/>
    </xf>
    <xf numFmtId="168" fontId="0" fillId="0" borderId="46" xfId="0" applyNumberFormat="1" applyFill="1" applyBorder="1" applyAlignment="1">
      <alignment horizontal="center"/>
    </xf>
    <xf numFmtId="165" fontId="0" fillId="0" borderId="11" xfId="0" applyNumberFormat="1" applyFill="1" applyBorder="1" applyAlignment="1">
      <alignment horizontal="center"/>
    </xf>
    <xf numFmtId="165" fontId="0" fillId="0" borderId="12" xfId="0" applyNumberFormat="1" applyFill="1" applyBorder="1" applyAlignment="1">
      <alignment horizontal="center"/>
    </xf>
    <xf numFmtId="173" fontId="0" fillId="0" borderId="13" xfId="0" applyNumberFormat="1" applyFill="1" applyBorder="1" applyAlignment="1">
      <alignment horizontal="center"/>
    </xf>
    <xf numFmtId="174" fontId="0" fillId="0" borderId="47" xfId="0" applyNumberFormat="1" applyFill="1" applyBorder="1" applyAlignment="1">
      <alignment horizontal="center"/>
    </xf>
    <xf numFmtId="171" fontId="0" fillId="0" borderId="12" xfId="0" applyNumberFormat="1" applyFill="1" applyBorder="1" applyAlignment="1">
      <alignment horizontal="center"/>
    </xf>
    <xf numFmtId="171" fontId="0" fillId="0" borderId="48" xfId="0" applyNumberFormat="1" applyFill="1" applyBorder="1" applyAlignment="1">
      <alignment horizontal="center"/>
    </xf>
    <xf numFmtId="171" fontId="0" fillId="0" borderId="13" xfId="0" applyNumberFormat="1" applyFill="1" applyBorder="1" applyAlignment="1">
      <alignment horizontal="center"/>
    </xf>
    <xf numFmtId="171" fontId="0" fillId="0" borderId="47" xfId="0" applyNumberFormat="1" applyFill="1" applyBorder="1" applyAlignment="1">
      <alignment horizontal="center"/>
    </xf>
    <xf numFmtId="167" fontId="0" fillId="0" borderId="12" xfId="0" applyNumberFormat="1" applyFill="1" applyBorder="1" applyAlignment="1">
      <alignment horizontal="center"/>
    </xf>
    <xf numFmtId="171" fontId="0" fillId="0" borderId="12" xfId="0" applyNumberFormat="1" applyFill="1" applyBorder="1"/>
    <xf numFmtId="171" fontId="0" fillId="0" borderId="13" xfId="0" applyNumberFormat="1" applyFill="1" applyBorder="1"/>
    <xf numFmtId="1" fontId="0" fillId="0" borderId="6" xfId="0" applyNumberFormat="1" applyFill="1" applyBorder="1" applyAlignment="1">
      <alignment horizontal="center"/>
    </xf>
    <xf numFmtId="1" fontId="0" fillId="0" borderId="8" xfId="0" applyNumberFormat="1" applyFill="1" applyBorder="1" applyAlignment="1">
      <alignment horizontal="center"/>
    </xf>
    <xf numFmtId="168" fontId="0" fillId="0" borderId="36" xfId="0" applyNumberFormat="1" applyFill="1" applyBorder="1" applyAlignment="1">
      <alignment horizontal="center"/>
    </xf>
    <xf numFmtId="165" fontId="0" fillId="0" borderId="6" xfId="0" applyNumberFormat="1" applyFill="1" applyBorder="1" applyAlignment="1">
      <alignment horizontal="center"/>
    </xf>
    <xf numFmtId="165" fontId="0" fillId="0" borderId="7" xfId="0" applyNumberFormat="1" applyFill="1" applyBorder="1" applyAlignment="1">
      <alignment horizontal="center"/>
    </xf>
    <xf numFmtId="173" fontId="0" fillId="0" borderId="8" xfId="0" applyNumberFormat="1" applyFill="1" applyBorder="1" applyAlignment="1">
      <alignment horizontal="center"/>
    </xf>
    <xf numFmtId="174" fontId="0" fillId="0" borderId="44" xfId="0" applyNumberFormat="1" applyFill="1" applyBorder="1" applyAlignment="1">
      <alignment horizontal="center"/>
    </xf>
    <xf numFmtId="171" fontId="0" fillId="0" borderId="7" xfId="0" applyNumberFormat="1" applyFill="1" applyBorder="1" applyAlignment="1">
      <alignment horizontal="center"/>
    </xf>
    <xf numFmtId="171" fontId="0" fillId="0" borderId="45" xfId="0" applyNumberFormat="1" applyFill="1" applyBorder="1" applyAlignment="1">
      <alignment horizontal="center"/>
    </xf>
    <xf numFmtId="0" fontId="0" fillId="0" borderId="6" xfId="0" applyFill="1" applyBorder="1"/>
    <xf numFmtId="171" fontId="0" fillId="0" borderId="8" xfId="0" applyNumberFormat="1" applyFill="1" applyBorder="1" applyAlignment="1">
      <alignment horizontal="center"/>
    </xf>
    <xf numFmtId="171" fontId="0" fillId="0" borderId="44" xfId="0" applyNumberFormat="1" applyFill="1" applyBorder="1" applyAlignment="1">
      <alignment horizontal="center"/>
    </xf>
    <xf numFmtId="167" fontId="0" fillId="0" borderId="7" xfId="0" applyNumberFormat="1" applyFill="1" applyBorder="1" applyAlignment="1">
      <alignment horizontal="center"/>
    </xf>
    <xf numFmtId="171" fontId="0" fillId="0" borderId="7" xfId="0" applyNumberFormat="1" applyFill="1" applyBorder="1"/>
    <xf numFmtId="171" fontId="0" fillId="0" borderId="8" xfId="0" applyNumberFormat="1" applyFill="1" applyBorder="1"/>
    <xf numFmtId="2" fontId="0" fillId="0" borderId="1" xfId="0" applyNumberFormat="1" applyFill="1" applyBorder="1" applyAlignment="1">
      <alignment horizontal="center"/>
    </xf>
    <xf numFmtId="11" fontId="0" fillId="23" borderId="0" xfId="0" applyNumberFormat="1" applyFill="1"/>
    <xf numFmtId="177" fontId="0" fillId="23" borderId="0" xfId="0" applyNumberFormat="1" applyFill="1"/>
    <xf numFmtId="11" fontId="0" fillId="23" borderId="0" xfId="0" applyNumberFormat="1" applyFill="1" applyAlignment="1">
      <alignment horizontal="left" indent="1"/>
    </xf>
    <xf numFmtId="0" fontId="0" fillId="0" borderId="52" xfId="0" applyFont="1" applyBorder="1"/>
    <xf numFmtId="0" fontId="0" fillId="0" borderId="53" xfId="0" applyFont="1" applyBorder="1"/>
    <xf numFmtId="0" fontId="28" fillId="31" borderId="54" xfId="0" applyFont="1" applyFill="1" applyBorder="1"/>
    <xf numFmtId="0" fontId="28" fillId="31" borderId="55" xfId="0" applyFont="1" applyFill="1" applyBorder="1"/>
    <xf numFmtId="0" fontId="0" fillId="32" borderId="54" xfId="0" applyFont="1" applyFill="1" applyBorder="1"/>
    <xf numFmtId="0" fontId="0" fillId="32" borderId="55" xfId="0" applyFont="1" applyFill="1" applyBorder="1"/>
    <xf numFmtId="0" fontId="0" fillId="0" borderId="54" xfId="0" applyFont="1" applyBorder="1"/>
    <xf numFmtId="0" fontId="0" fillId="0" borderId="55" xfId="0" applyFont="1" applyBorder="1"/>
    <xf numFmtId="0" fontId="0" fillId="0" borderId="32" xfId="0" applyFill="1" applyBorder="1" applyAlignment="1">
      <alignment horizontal="center"/>
    </xf>
    <xf numFmtId="0" fontId="0" fillId="0" borderId="0" xfId="0"/>
    <xf numFmtId="1" fontId="0" fillId="14" borderId="32" xfId="0" applyNumberFormat="1" applyFill="1" applyBorder="1" applyAlignment="1">
      <alignment horizontal="center"/>
    </xf>
    <xf numFmtId="168" fontId="0" fillId="14" borderId="32" xfId="0" applyNumberFormat="1" applyFill="1" applyBorder="1" applyAlignment="1">
      <alignment horizontal="center"/>
    </xf>
    <xf numFmtId="165" fontId="0" fillId="14" borderId="32" xfId="0" applyNumberFormat="1" applyFill="1" applyBorder="1" applyAlignment="1">
      <alignment horizontal="center"/>
    </xf>
    <xf numFmtId="173" fontId="0" fillId="14" borderId="32" xfId="0" applyNumberFormat="1" applyFill="1" applyBorder="1" applyAlignment="1">
      <alignment horizontal="center"/>
    </xf>
    <xf numFmtId="174" fontId="0" fillId="14" borderId="32" xfId="0" applyNumberFormat="1" applyFill="1" applyBorder="1" applyAlignment="1">
      <alignment horizontal="center"/>
    </xf>
    <xf numFmtId="171" fontId="0" fillId="14" borderId="32" xfId="0" applyNumberFormat="1" applyFill="1" applyBorder="1" applyAlignment="1">
      <alignment horizontal="center"/>
    </xf>
    <xf numFmtId="0" fontId="0" fillId="14" borderId="32" xfId="0" applyFill="1" applyBorder="1"/>
    <xf numFmtId="167" fontId="0" fillId="14" borderId="32" xfId="0" applyNumberFormat="1" applyFill="1" applyBorder="1" applyAlignment="1">
      <alignment horizontal="center"/>
    </xf>
    <xf numFmtId="171" fontId="0" fillId="14" borderId="32" xfId="0" applyNumberFormat="1" applyFill="1" applyBorder="1"/>
    <xf numFmtId="171" fontId="0" fillId="14" borderId="26" xfId="0" applyNumberFormat="1" applyFill="1" applyBorder="1"/>
    <xf numFmtId="1" fontId="0" fillId="14" borderId="0" xfId="0" applyNumberFormat="1" applyFill="1" applyBorder="1" applyAlignment="1">
      <alignment horizontal="center"/>
    </xf>
    <xf numFmtId="168" fontId="0" fillId="14" borderId="0" xfId="0" applyNumberFormat="1" applyFill="1" applyBorder="1" applyAlignment="1">
      <alignment horizontal="center"/>
    </xf>
    <xf numFmtId="173" fontId="0" fillId="14" borderId="0" xfId="0" applyNumberFormat="1" applyFill="1" applyBorder="1" applyAlignment="1">
      <alignment horizontal="center"/>
    </xf>
    <xf numFmtId="174" fontId="0" fillId="14" borderId="0" xfId="0" applyNumberFormat="1" applyFill="1" applyBorder="1" applyAlignment="1">
      <alignment horizontal="center"/>
    </xf>
    <xf numFmtId="171" fontId="0" fillId="14" borderId="0" xfId="0" applyNumberFormat="1" applyFill="1" applyBorder="1" applyAlignment="1">
      <alignment horizontal="center"/>
    </xf>
    <xf numFmtId="167" fontId="0" fillId="14" borderId="0" xfId="0" applyNumberFormat="1" applyFill="1" applyBorder="1" applyAlignment="1">
      <alignment horizontal="center"/>
    </xf>
    <xf numFmtId="171" fontId="0" fillId="14" borderId="0" xfId="0" applyNumberFormat="1" applyFill="1" applyBorder="1"/>
    <xf numFmtId="171" fontId="0" fillId="14" borderId="24" xfId="0" applyNumberFormat="1" applyFill="1" applyBorder="1"/>
    <xf numFmtId="0" fontId="0" fillId="0" borderId="31" xfId="0" applyFill="1" applyBorder="1" applyAlignment="1">
      <alignment horizontal="center"/>
    </xf>
    <xf numFmtId="1" fontId="0" fillId="14" borderId="31" xfId="0" applyNumberFormat="1" applyFill="1" applyBorder="1" applyAlignment="1">
      <alignment horizontal="center"/>
    </xf>
    <xf numFmtId="168" fontId="0" fillId="14" borderId="31" xfId="0" applyNumberFormat="1" applyFill="1" applyBorder="1" applyAlignment="1">
      <alignment horizontal="center"/>
    </xf>
    <xf numFmtId="165" fontId="0" fillId="14" borderId="31" xfId="0" applyNumberFormat="1" applyFill="1" applyBorder="1" applyAlignment="1">
      <alignment horizontal="center"/>
    </xf>
    <xf numFmtId="173" fontId="0" fillId="14" borderId="31" xfId="0" applyNumberFormat="1" applyFill="1" applyBorder="1" applyAlignment="1">
      <alignment horizontal="center"/>
    </xf>
    <xf numFmtId="174" fontId="0" fillId="14" borderId="31" xfId="0" applyNumberFormat="1" applyFill="1" applyBorder="1" applyAlignment="1">
      <alignment horizontal="center"/>
    </xf>
    <xf numFmtId="171" fontId="0" fillId="14" borderId="31" xfId="0" applyNumberFormat="1" applyFill="1" applyBorder="1" applyAlignment="1">
      <alignment horizontal="center"/>
    </xf>
    <xf numFmtId="167" fontId="0" fillId="14" borderId="31" xfId="0" applyNumberFormat="1" applyFill="1" applyBorder="1" applyAlignment="1">
      <alignment horizontal="center"/>
    </xf>
    <xf numFmtId="171" fontId="0" fillId="14" borderId="31" xfId="0" applyNumberFormat="1" applyFill="1" applyBorder="1"/>
    <xf numFmtId="171" fontId="0" fillId="14" borderId="22" xfId="0" applyNumberFormat="1" applyFill="1" applyBorder="1"/>
    <xf numFmtId="0" fontId="3" fillId="0" borderId="56" xfId="0" applyFont="1" applyFill="1" applyBorder="1"/>
    <xf numFmtId="0" fontId="0" fillId="0" borderId="56" xfId="0" applyFill="1" applyBorder="1"/>
    <xf numFmtId="168" fontId="0" fillId="9" borderId="0" xfId="0" applyNumberFormat="1" applyFill="1"/>
    <xf numFmtId="168" fontId="0" fillId="4" borderId="0" xfId="0" applyNumberFormat="1" applyFill="1"/>
    <xf numFmtId="168" fontId="0" fillId="33" borderId="0" xfId="0" applyNumberFormat="1" applyFill="1"/>
    <xf numFmtId="167" fontId="0" fillId="9" borderId="0" xfId="0" applyNumberFormat="1" applyFill="1"/>
    <xf numFmtId="0" fontId="0" fillId="9" borderId="0" xfId="0" applyFill="1"/>
    <xf numFmtId="167" fontId="0" fillId="4" borderId="0" xfId="0" applyNumberFormat="1" applyFill="1"/>
    <xf numFmtId="0" fontId="0" fillId="0" borderId="31" xfId="0" applyBorder="1" applyAlignment="1">
      <alignment horizontal="right"/>
    </xf>
    <xf numFmtId="0" fontId="0" fillId="0" borderId="31" xfId="0" applyNumberFormat="1" applyBorder="1" applyAlignment="1"/>
    <xf numFmtId="0" fontId="0" fillId="0" borderId="31" xfId="0" applyFill="1" applyBorder="1" applyAlignment="1"/>
    <xf numFmtId="167" fontId="0" fillId="0" borderId="31" xfId="0" applyNumberFormat="1" applyBorder="1"/>
    <xf numFmtId="0" fontId="0" fillId="0" borderId="0" xfId="0"/>
    <xf numFmtId="0" fontId="5" fillId="0" borderId="0" xfId="0" applyFont="1" applyAlignment="1">
      <alignment horizontal="center"/>
    </xf>
    <xf numFmtId="0" fontId="3" fillId="8" borderId="0" xfId="0" applyFont="1" applyFill="1" applyAlignment="1">
      <alignment horizontal="center"/>
    </xf>
    <xf numFmtId="0" fontId="3" fillId="9" borderId="0" xfId="0" applyFont="1" applyFill="1" applyAlignment="1">
      <alignment horizontal="center"/>
    </xf>
    <xf numFmtId="0" fontId="3" fillId="10" borderId="0" xfId="0" applyFont="1" applyFill="1" applyAlignment="1">
      <alignment horizontal="center"/>
    </xf>
    <xf numFmtId="0" fontId="3" fillId="11" borderId="0" xfId="0" applyFont="1" applyFill="1" applyAlignment="1">
      <alignment horizontal="center"/>
    </xf>
    <xf numFmtId="0" fontId="0" fillId="0" borderId="0" xfId="0" applyAlignment="1">
      <alignment horizontal="center"/>
    </xf>
    <xf numFmtId="0" fontId="19" fillId="13" borderId="35" xfId="0" applyFont="1" applyFill="1" applyBorder="1" applyAlignment="1">
      <alignment horizontal="center"/>
    </xf>
    <xf numFmtId="0" fontId="19" fillId="13" borderId="34" xfId="0" applyFont="1" applyFill="1" applyBorder="1" applyAlignment="1">
      <alignment horizontal="center"/>
    </xf>
    <xf numFmtId="0" fontId="19" fillId="13" borderId="33" xfId="0" applyFont="1" applyFill="1" applyBorder="1" applyAlignment="1">
      <alignment horizontal="center"/>
    </xf>
    <xf numFmtId="0" fontId="18" fillId="14" borderId="35" xfId="0" applyFont="1" applyFill="1" applyBorder="1" applyAlignment="1">
      <alignment horizontal="center"/>
    </xf>
    <xf numFmtId="0" fontId="18" fillId="14" borderId="34" xfId="0" applyFont="1" applyFill="1" applyBorder="1" applyAlignment="1">
      <alignment horizontal="center"/>
    </xf>
    <xf numFmtId="0" fontId="18" fillId="14" borderId="33" xfId="0" applyFont="1" applyFill="1" applyBorder="1" applyAlignment="1">
      <alignment horizontal="center"/>
    </xf>
    <xf numFmtId="0" fontId="3" fillId="13" borderId="35" xfId="0" applyFont="1" applyFill="1" applyBorder="1" applyAlignment="1">
      <alignment horizontal="center"/>
    </xf>
    <xf numFmtId="0" fontId="3" fillId="13" borderId="34" xfId="0" applyFont="1" applyFill="1" applyBorder="1" applyAlignment="1">
      <alignment horizontal="center"/>
    </xf>
    <xf numFmtId="0" fontId="3" fillId="0" borderId="0" xfId="0" applyFont="1" applyAlignment="1">
      <alignment horizontal="center" vertical="center"/>
    </xf>
    <xf numFmtId="0" fontId="0" fillId="0" borderId="36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168" fontId="0" fillId="0" borderId="1" xfId="0" applyNumberFormat="1" applyBorder="1" applyAlignment="1">
      <alignment horizontal="center"/>
    </xf>
    <xf numFmtId="0" fontId="0" fillId="0" borderId="30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56" xfId="0" applyFill="1" applyBorder="1" applyAlignment="1">
      <alignment horizontal="center"/>
    </xf>
  </cellXfs>
  <cellStyles count="4">
    <cellStyle name="Currency 2" xfId="3"/>
    <cellStyle name="Heading 2" xfId="2" builtinId="17"/>
    <cellStyle name="Hyperlink" xfId="1" builtinId="8"/>
    <cellStyle name="Normal" xfId="0" builtinId="0"/>
  </cellStyles>
  <dxfs count="4">
    <dxf>
      <numFmt numFmtId="3" formatCode="#,##0"/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  <dxf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colors>
    <mruColors>
      <color rgb="FFFF6600"/>
      <color rgb="FFFF00FF"/>
      <color rgb="FF0000FF"/>
      <color rgb="FF00CC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4060028786724242E-2"/>
          <c:y val="1.8031884779680988E-2"/>
          <c:w val="0.88555803911607822"/>
          <c:h val="0.96393623044063803"/>
        </c:manualLayout>
      </c:layout>
      <c:scatterChart>
        <c:scatterStyle val="lineMarker"/>
        <c:varyColors val="0"/>
        <c:ser>
          <c:idx val="0"/>
          <c:order val="0"/>
          <c:tx>
            <c:strRef>
              <c:f>Airfoil_SD7062!$H$3</c:f>
              <c:strCache>
                <c:ptCount val="1"/>
                <c:pt idx="0">
                  <c:v>Upper</c:v>
                </c:pt>
              </c:strCache>
            </c:strRef>
          </c:tx>
          <c:xVal>
            <c:numRef>
              <c:f>Airfoil_SD7062!$E$4:$E$35</c:f>
              <c:numCache>
                <c:formatCode>General</c:formatCode>
                <c:ptCount val="32"/>
                <c:pt idx="0">
                  <c:v>27.156611111111101</c:v>
                </c:pt>
                <c:pt idx="1">
                  <c:v>27.062106104444432</c:v>
                </c:pt>
                <c:pt idx="2">
                  <c:v>26.785651803333323</c:v>
                </c:pt>
                <c:pt idx="3">
                  <c:v>26.342999042222214</c:v>
                </c:pt>
                <c:pt idx="4">
                  <c:v>25.749355523333325</c:v>
                </c:pt>
                <c:pt idx="5">
                  <c:v>25.018571118333323</c:v>
                </c:pt>
                <c:pt idx="6">
                  <c:v>24.160422207222211</c:v>
                </c:pt>
                <c:pt idx="7">
                  <c:v>23.186586132777769</c:v>
                </c:pt>
                <c:pt idx="8">
                  <c:v>22.112813729444436</c:v>
                </c:pt>
                <c:pt idx="9">
                  <c:v>20.955670529999992</c:v>
                </c:pt>
                <c:pt idx="10">
                  <c:v>19.732536765555547</c:v>
                </c:pt>
                <c:pt idx="11">
                  <c:v>18.459163270555546</c:v>
                </c:pt>
                <c:pt idx="12">
                  <c:v>17.150486181111106</c:v>
                </c:pt>
                <c:pt idx="13">
                  <c:v>15.819812236666658</c:v>
                </c:pt>
                <c:pt idx="14">
                  <c:v>14.480448176666663</c:v>
                </c:pt>
                <c:pt idx="15">
                  <c:v>13.144342909999995</c:v>
                </c:pt>
                <c:pt idx="16">
                  <c:v>11.823988477777773</c:v>
                </c:pt>
                <c:pt idx="17">
                  <c:v>10.531062222777773</c:v>
                </c:pt>
                <c:pt idx="18">
                  <c:v>9.2764267894444412</c:v>
                </c:pt>
                <c:pt idx="19">
                  <c:v>8.07094482222222</c:v>
                </c:pt>
                <c:pt idx="20">
                  <c:v>6.9238495688888868</c:v>
                </c:pt>
                <c:pt idx="21">
                  <c:v>5.8443742772222205</c:v>
                </c:pt>
                <c:pt idx="22">
                  <c:v>4.8406659305555531</c:v>
                </c:pt>
                <c:pt idx="23">
                  <c:v>3.9192421155555541</c:v>
                </c:pt>
                <c:pt idx="24">
                  <c:v>3.085805720555554</c:v>
                </c:pt>
                <c:pt idx="25">
                  <c:v>2.3455165016666659</c:v>
                </c:pt>
                <c:pt idx="26">
                  <c:v>1.7024479505555548</c:v>
                </c:pt>
                <c:pt idx="27">
                  <c:v>1.1601304266666663</c:v>
                </c:pt>
                <c:pt idx="28">
                  <c:v>0.71965019444444411</c:v>
                </c:pt>
                <c:pt idx="29">
                  <c:v>0.38290821666666652</c:v>
                </c:pt>
                <c:pt idx="30">
                  <c:v>0.15262015444444438</c:v>
                </c:pt>
                <c:pt idx="31">
                  <c:v>2.7971309444444436E-2</c:v>
                </c:pt>
              </c:numCache>
            </c:numRef>
          </c:xVal>
          <c:yVal>
            <c:numRef>
              <c:f>Airfoil_SD7062!$F$4:$F$35</c:f>
              <c:numCache>
                <c:formatCode>General</c:formatCode>
                <c:ptCount val="32"/>
                <c:pt idx="0">
                  <c:v>0</c:v>
                </c:pt>
                <c:pt idx="1">
                  <c:v>1.5479268333333327E-2</c:v>
                </c:pt>
                <c:pt idx="2">
                  <c:v>6.5718998888888866E-2</c:v>
                </c:pt>
                <c:pt idx="3">
                  <c:v>0.15506424944444439</c:v>
                </c:pt>
                <c:pt idx="4">
                  <c:v>0.28134249111111098</c:v>
                </c:pt>
                <c:pt idx="5">
                  <c:v>0.43857926944444431</c:v>
                </c:pt>
                <c:pt idx="6">
                  <c:v>0.62161482833333315</c:v>
                </c:pt>
                <c:pt idx="7">
                  <c:v>0.82800507277777746</c:v>
                </c:pt>
                <c:pt idx="8">
                  <c:v>1.0550343416666663</c:v>
                </c:pt>
                <c:pt idx="9">
                  <c:v>1.2975428788888885</c:v>
                </c:pt>
                <c:pt idx="10">
                  <c:v>1.5484699655555549</c:v>
                </c:pt>
                <c:pt idx="11">
                  <c:v>1.7993970522222216</c:v>
                </c:pt>
                <c:pt idx="12">
                  <c:v>2.0413624572222213</c:v>
                </c:pt>
                <c:pt idx="13">
                  <c:v>2.2667623294444437</c:v>
                </c:pt>
                <c:pt idx="14">
                  <c:v>2.4682643838888878</c:v>
                </c:pt>
                <c:pt idx="15">
                  <c:v>2.6404372983333322</c:v>
                </c:pt>
                <c:pt idx="16">
                  <c:v>2.7778497505555548</c:v>
                </c:pt>
                <c:pt idx="17">
                  <c:v>2.8764282488888879</c:v>
                </c:pt>
                <c:pt idx="18">
                  <c:v>2.9331855661111099</c:v>
                </c:pt>
                <c:pt idx="19">
                  <c:v>2.9454060411111098</c:v>
                </c:pt>
                <c:pt idx="20">
                  <c:v>2.9117318433333321</c:v>
                </c:pt>
                <c:pt idx="21">
                  <c:v>2.8318914066666654</c:v>
                </c:pt>
                <c:pt idx="22">
                  <c:v>2.7061562972222211</c:v>
                </c:pt>
                <c:pt idx="23">
                  <c:v>2.5364274777777767</c:v>
                </c:pt>
                <c:pt idx="24">
                  <c:v>2.3251490433333326</c:v>
                </c:pt>
                <c:pt idx="25">
                  <c:v>2.076666051666666</c:v>
                </c:pt>
                <c:pt idx="26">
                  <c:v>1.7966813911111104</c:v>
                </c:pt>
                <c:pt idx="27">
                  <c:v>1.4911695161111105</c:v>
                </c:pt>
                <c:pt idx="28">
                  <c:v>1.1677342777777773</c:v>
                </c:pt>
                <c:pt idx="29">
                  <c:v>0.83669518833333301</c:v>
                </c:pt>
                <c:pt idx="30">
                  <c:v>0.50810019388888872</c:v>
                </c:pt>
                <c:pt idx="31">
                  <c:v>0.19308350499999993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Airfoil_SD7062!$H$4</c:f>
              <c:strCache>
                <c:ptCount val="1"/>
                <c:pt idx="0">
                  <c:v>Lower</c:v>
                </c:pt>
              </c:strCache>
            </c:strRef>
          </c:tx>
          <c:xVal>
            <c:numRef>
              <c:f>Airfoil_SD7062!$E$37:$E$65</c:f>
              <c:numCache>
                <c:formatCode>General</c:formatCode>
                <c:ptCount val="29"/>
                <c:pt idx="0">
                  <c:v>7.3322849999999974E-3</c:v>
                </c:pt>
                <c:pt idx="1">
                  <c:v>0.11541559722222218</c:v>
                </c:pt>
                <c:pt idx="2">
                  <c:v>0.38399448111111095</c:v>
                </c:pt>
                <c:pt idx="3">
                  <c:v>0.81225423833333299</c:v>
                </c:pt>
                <c:pt idx="4">
                  <c:v>1.384715600555555</c:v>
                </c:pt>
                <c:pt idx="5">
                  <c:v>2.0937747166666658</c:v>
                </c:pt>
                <c:pt idx="6">
                  <c:v>2.9323708677777769</c:v>
                </c:pt>
                <c:pt idx="7">
                  <c:v>3.8909992399999984</c:v>
                </c:pt>
                <c:pt idx="8">
                  <c:v>4.9601550194444428</c:v>
                </c:pt>
                <c:pt idx="9">
                  <c:v>6.1292471277777754</c:v>
                </c:pt>
                <c:pt idx="10">
                  <c:v>7.3863266561111089</c:v>
                </c:pt>
                <c:pt idx="11">
                  <c:v>8.7186299972222194</c:v>
                </c:pt>
                <c:pt idx="12">
                  <c:v>10.112578845555552</c:v>
                </c:pt>
                <c:pt idx="13">
                  <c:v>11.55432332944444</c:v>
                </c:pt>
                <c:pt idx="14">
                  <c:v>13.029470444999994</c:v>
                </c:pt>
                <c:pt idx="15">
                  <c:v>14.522540923888883</c:v>
                </c:pt>
                <c:pt idx="16">
                  <c:v>16.015611402777772</c:v>
                </c:pt>
                <c:pt idx="17">
                  <c:v>17.48967225388888</c:v>
                </c:pt>
                <c:pt idx="18">
                  <c:v>18.925985415555548</c:v>
                </c:pt>
                <c:pt idx="19">
                  <c:v>20.304454995555549</c:v>
                </c:pt>
                <c:pt idx="20">
                  <c:v>21.604985101666657</c:v>
                </c:pt>
                <c:pt idx="21">
                  <c:v>22.808837672222214</c:v>
                </c:pt>
                <c:pt idx="22">
                  <c:v>23.897274645555544</c:v>
                </c:pt>
                <c:pt idx="23">
                  <c:v>24.853187356666655</c:v>
                </c:pt>
                <c:pt idx="24">
                  <c:v>25.660553404999991</c:v>
                </c:pt>
                <c:pt idx="25">
                  <c:v>26.304979786666657</c:v>
                </c:pt>
                <c:pt idx="26">
                  <c:v>26.774517592777766</c:v>
                </c:pt>
                <c:pt idx="27">
                  <c:v>27.060476707777767</c:v>
                </c:pt>
                <c:pt idx="28">
                  <c:v>27.156882677222214</c:v>
                </c:pt>
              </c:numCache>
            </c:numRef>
          </c:xVal>
          <c:yVal>
            <c:numRef>
              <c:f>Airfoil_SD7062!$F$37:$F$65</c:f>
              <c:numCache>
                <c:formatCode>General</c:formatCode>
                <c:ptCount val="29"/>
                <c:pt idx="0">
                  <c:v>-8.8802118333333291E-2</c:v>
                </c:pt>
                <c:pt idx="1">
                  <c:v>-0.30279621388888878</c:v>
                </c:pt>
                <c:pt idx="2">
                  <c:v>-0.46193395499999984</c:v>
                </c:pt>
                <c:pt idx="3">
                  <c:v>-0.59880327499999975</c:v>
                </c:pt>
                <c:pt idx="4">
                  <c:v>-0.71231790944444418</c:v>
                </c:pt>
                <c:pt idx="5">
                  <c:v>-0.80057689555555522</c:v>
                </c:pt>
                <c:pt idx="6">
                  <c:v>-0.86330866722222188</c:v>
                </c:pt>
                <c:pt idx="7">
                  <c:v>-0.9013279227777774</c:v>
                </c:pt>
                <c:pt idx="8">
                  <c:v>-0.91436309611111066</c:v>
                </c:pt>
                <c:pt idx="9">
                  <c:v>-0.90350045166666637</c:v>
                </c:pt>
                <c:pt idx="10">
                  <c:v>-0.87064095222222182</c:v>
                </c:pt>
                <c:pt idx="11">
                  <c:v>-0.81741399444444407</c:v>
                </c:pt>
                <c:pt idx="12">
                  <c:v>-0.74599210722222198</c:v>
                </c:pt>
                <c:pt idx="13">
                  <c:v>-0.6588193855555553</c:v>
                </c:pt>
                <c:pt idx="14">
                  <c:v>-0.5605124533333331</c:v>
                </c:pt>
                <c:pt idx="15">
                  <c:v>-0.45623106666666646</c:v>
                </c:pt>
                <c:pt idx="16">
                  <c:v>-0.35167811388888875</c:v>
                </c:pt>
                <c:pt idx="17">
                  <c:v>-0.25174178499999994</c:v>
                </c:pt>
                <c:pt idx="18">
                  <c:v>-0.16103870388888883</c:v>
                </c:pt>
                <c:pt idx="19">
                  <c:v>-8.3370796111111076E-2</c:v>
                </c:pt>
                <c:pt idx="20">
                  <c:v>-2.1453722777777771E-2</c:v>
                </c:pt>
                <c:pt idx="21">
                  <c:v>2.3626251666666657E-2</c:v>
                </c:pt>
                <c:pt idx="22">
                  <c:v>5.1325994999999978E-2</c:v>
                </c:pt>
                <c:pt idx="23">
                  <c:v>6.246020555555553E-2</c:v>
                </c:pt>
                <c:pt idx="24">
                  <c:v>5.8658279999999979E-2</c:v>
                </c:pt>
                <c:pt idx="25">
                  <c:v>4.4265276111111092E-2</c:v>
                </c:pt>
                <c:pt idx="26">
                  <c:v>2.4984082222222214E-2</c:v>
                </c:pt>
                <c:pt idx="27">
                  <c:v>7.3322849999999974E-3</c:v>
                </c:pt>
                <c:pt idx="28">
                  <c:v>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383104"/>
        <c:axId val="50384896"/>
      </c:scatterChart>
      <c:valAx>
        <c:axId val="50383104"/>
        <c:scaling>
          <c:orientation val="minMax"/>
          <c:max val="40"/>
        </c:scaling>
        <c:delete val="0"/>
        <c:axPos val="b"/>
        <c:numFmt formatCode="General" sourceLinked="1"/>
        <c:majorTickMark val="out"/>
        <c:minorTickMark val="none"/>
        <c:tickLblPos val="nextTo"/>
        <c:crossAx val="50384896"/>
        <c:crossesAt val="0"/>
        <c:crossBetween val="midCat"/>
        <c:majorUnit val="2"/>
        <c:minorUnit val="2"/>
      </c:valAx>
      <c:valAx>
        <c:axId val="50384896"/>
        <c:scaling>
          <c:orientation val="minMax"/>
          <c:max val="40"/>
          <c:min val="-40"/>
        </c:scaling>
        <c:delete val="0"/>
        <c:axPos val="l"/>
        <c:majorGridlines/>
        <c:numFmt formatCode="General" sourceLinked="1"/>
        <c:majorTickMark val="out"/>
        <c:minorTickMark val="none"/>
        <c:tickLblPos val="nextTo"/>
        <c:crossAx val="50383104"/>
        <c:crossesAt val="0"/>
        <c:crossBetween val="midCat"/>
        <c:majorUnit val="2"/>
        <c:minorUnit val="2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1.642810061496993E-2"/>
          <c:y val="7.2370695096629521E-3"/>
          <c:w val="0.96846660701949105"/>
          <c:h val="0.99035494659543599"/>
        </c:manualLayout>
      </c:layout>
      <c:scatterChart>
        <c:scatterStyle val="smoothMarker"/>
        <c:varyColors val="0"/>
        <c:ser>
          <c:idx val="0"/>
          <c:order val="0"/>
          <c:tx>
            <c:strRef>
              <c:f>Wing!$E$114</c:f>
              <c:strCache>
                <c:ptCount val="1"/>
                <c:pt idx="0">
                  <c:v>t upper of airfoil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Wing!$D$116:$D$148</c:f>
              <c:numCache>
                <c:formatCode>0.00</c:formatCode>
                <c:ptCount val="33"/>
                <c:pt idx="0">
                  <c:v>0</c:v>
                </c:pt>
                <c:pt idx="1">
                  <c:v>1.1012326552930881E-2</c:v>
                </c:pt>
                <c:pt idx="2" formatCode="0.0000">
                  <c:v>6.008667497812771E-2</c:v>
                </c:pt>
                <c:pt idx="3">
                  <c:v>0.15075126640419942</c:v>
                </c:pt>
                <c:pt idx="4">
                  <c:v>0.28332684820647408</c:v>
                </c:pt>
                <c:pt idx="5">
                  <c:v>0.45674426246719141</c:v>
                </c:pt>
                <c:pt idx="6">
                  <c:v>0.67025509864391919</c:v>
                </c:pt>
                <c:pt idx="7">
                  <c:v>0.92343169356955346</c:v>
                </c:pt>
                <c:pt idx="8">
                  <c:v>1.2148841419510057</c:v>
                </c:pt>
                <c:pt idx="9">
                  <c:v>1.5430087069116354</c:v>
                </c:pt>
                <c:pt idx="10">
                  <c:v>1.9057739884076983</c:v>
                </c:pt>
                <c:pt idx="11">
                  <c:v>2.3009347548118977</c:v>
                </c:pt>
                <c:pt idx="12">
                  <c:v>2.7259250271216091</c:v>
                </c:pt>
                <c:pt idx="13">
                  <c:v>3.1775373315835509</c:v>
                </c:pt>
                <c:pt idx="14">
                  <c:v>3.6521365312773391</c:v>
                </c:pt>
                <c:pt idx="15">
                  <c:v>4.1460874892825883</c:v>
                </c:pt>
                <c:pt idx="16">
                  <c:v>4.655113573928257</c:v>
                </c:pt>
                <c:pt idx="17">
                  <c:v>5.1749381535433052</c:v>
                </c:pt>
                <c:pt idx="18">
                  <c:v>5.7009638490813632</c:v>
                </c:pt>
                <c:pt idx="19">
                  <c:v>6.2282725341207321</c:v>
                </c:pt>
                <c:pt idx="20">
                  <c:v>6.7521599138232693</c:v>
                </c:pt>
                <c:pt idx="21">
                  <c:v>7.2673871143919477</c:v>
                </c:pt>
                <c:pt idx="22">
                  <c:v>7.7687152620297439</c:v>
                </c:pt>
                <c:pt idx="23">
                  <c:v>8.2502639881889728</c:v>
                </c:pt>
                <c:pt idx="24">
                  <c:v>8.7058321769466289</c:v>
                </c:pt>
                <c:pt idx="25">
                  <c:v>9.1285772176290418</c:v>
                </c:pt>
                <c:pt idx="26">
                  <c:v>9.511977246937878</c:v>
                </c:pt>
                <c:pt idx="27">
                  <c:v>9.8498311489501269</c:v>
                </c:pt>
                <c:pt idx="28">
                  <c:v>10.137541544619419</c:v>
                </c:pt>
                <c:pt idx="29">
                  <c:v>10.371259465441815</c:v>
                </c:pt>
                <c:pt idx="30">
                  <c:v>10.545532206036741</c:v>
                </c:pt>
                <c:pt idx="31">
                  <c:v>10.654372482064737</c:v>
                </c:pt>
                <c:pt idx="32">
                  <c:v>10.691579177602796</c:v>
                </c:pt>
              </c:numCache>
            </c:numRef>
          </c:xVal>
          <c:yVal>
            <c:numRef>
              <c:f>Wing!$E$116:$E$148</c:f>
              <c:numCache>
                <c:formatCode>0.00</c:formatCode>
                <c:ptCount val="33"/>
                <c:pt idx="0">
                  <c:v>0</c:v>
                </c:pt>
                <c:pt idx="1">
                  <c:v>7.6017127952755878E-2</c:v>
                </c:pt>
                <c:pt idx="2">
                  <c:v>0.20003944641294832</c:v>
                </c:pt>
                <c:pt idx="3">
                  <c:v>0.32940755446194214</c:v>
                </c:pt>
                <c:pt idx="4">
                  <c:v>0.45973790463692016</c:v>
                </c:pt>
                <c:pt idx="5">
                  <c:v>0.58707461264216954</c:v>
                </c:pt>
                <c:pt idx="6">
                  <c:v>0.70735487839020095</c:v>
                </c:pt>
                <c:pt idx="7">
                  <c:v>0.8175850597112857</c:v>
                </c:pt>
                <c:pt idx="8">
                  <c:v>0.91541300918635138</c:v>
                </c:pt>
                <c:pt idx="9">
                  <c:v>0.99859349518810103</c:v>
                </c:pt>
                <c:pt idx="10">
                  <c:v>1.0654158650481187</c:v>
                </c:pt>
                <c:pt idx="11">
                  <c:v>1.1149178766404195</c:v>
                </c:pt>
                <c:pt idx="12">
                  <c:v>1.1463511194225717</c:v>
                </c:pt>
                <c:pt idx="13" formatCode="0.00000">
                  <c:v>1.1596086776027992</c:v>
                </c:pt>
                <c:pt idx="14" formatCode="0.0000">
                  <c:v>1.154797466972878</c:v>
                </c:pt>
                <c:pt idx="15" formatCode="0.00000">
                  <c:v>1.1324520664916882</c:v>
                </c:pt>
                <c:pt idx="16">
                  <c:v>1.0936416340769901</c:v>
                </c:pt>
                <c:pt idx="17">
                  <c:v>1.0395422434383197</c:v>
                </c:pt>
                <c:pt idx="18">
                  <c:v>0.97175763145231808</c:v>
                </c:pt>
                <c:pt idx="19">
                  <c:v>0.89242611395450533</c:v>
                </c:pt>
                <c:pt idx="20">
                  <c:v>0.80368600678040214</c:v>
                </c:pt>
                <c:pt idx="21">
                  <c:v>0.70842403630796125</c:v>
                </c:pt>
                <c:pt idx="22">
                  <c:v>0.6096338447069114</c:v>
                </c:pt>
                <c:pt idx="23">
                  <c:v>0.51084365310586155</c:v>
                </c:pt>
                <c:pt idx="24">
                  <c:v>0.41536785104986862</c:v>
                </c:pt>
                <c:pt idx="25">
                  <c:v>0.32598624912510921</c:v>
                </c:pt>
                <c:pt idx="26">
                  <c:v>0.244730247375328</c:v>
                </c:pt>
                <c:pt idx="27">
                  <c:v>0.17266900371828517</c:v>
                </c:pt>
                <c:pt idx="28">
                  <c:v>0.11076476027996496</c:v>
                </c:pt>
                <c:pt idx="29">
                  <c:v>6.1048917104111963E-2</c:v>
                </c:pt>
                <c:pt idx="30">
                  <c:v>2.5873621609798763E-2</c:v>
                </c:pt>
                <c:pt idx="31">
                  <c:v>6.0942001312335936E-3</c:v>
                </c:pt>
                <c:pt idx="32">
                  <c:v>0</c:v>
                </c:pt>
              </c:numCache>
            </c:numRef>
          </c:yVal>
          <c:smooth val="1"/>
        </c:ser>
        <c:ser>
          <c:idx val="1"/>
          <c:order val="1"/>
          <c:tx>
            <c:strRef>
              <c:f>Wing!$K$114</c:f>
              <c:strCache>
                <c:ptCount val="1"/>
                <c:pt idx="0">
                  <c:v>t lower of airfoil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Wing!$M$116:$M$148</c:f>
              <c:numCache>
                <c:formatCode>0.00</c:formatCode>
                <c:ptCount val="33"/>
                <c:pt idx="0">
                  <c:v>0</c:v>
                </c:pt>
                <c:pt idx="1">
                  <c:v>1.1012326552930881E-2</c:v>
                </c:pt>
                <c:pt idx="2">
                  <c:v>6.008667497812771E-2</c:v>
                </c:pt>
                <c:pt idx="3">
                  <c:v>0.15075126640419942</c:v>
                </c:pt>
                <c:pt idx="4">
                  <c:v>0.28332684820647408</c:v>
                </c:pt>
                <c:pt idx="5">
                  <c:v>0.45674426246719141</c:v>
                </c:pt>
                <c:pt idx="6">
                  <c:v>0.67025509864391919</c:v>
                </c:pt>
                <c:pt idx="7">
                  <c:v>0.92343169356955346</c:v>
                </c:pt>
                <c:pt idx="8">
                  <c:v>1.2148841419510057</c:v>
                </c:pt>
                <c:pt idx="9">
                  <c:v>1.5430087069116354</c:v>
                </c:pt>
                <c:pt idx="10">
                  <c:v>1.9057739884076983</c:v>
                </c:pt>
                <c:pt idx="11">
                  <c:v>2.3009347548118977</c:v>
                </c:pt>
                <c:pt idx="12">
                  <c:v>2.7259250271216091</c:v>
                </c:pt>
                <c:pt idx="13">
                  <c:v>3.1775373315835509</c:v>
                </c:pt>
                <c:pt idx="14">
                  <c:v>3.6521365312773391</c:v>
                </c:pt>
                <c:pt idx="15">
                  <c:v>4.1460874892825883</c:v>
                </c:pt>
                <c:pt idx="16">
                  <c:v>4.655113573928257</c:v>
                </c:pt>
                <c:pt idx="17">
                  <c:v>5.1749381535433052</c:v>
                </c:pt>
                <c:pt idx="18">
                  <c:v>5.7009638490813632</c:v>
                </c:pt>
                <c:pt idx="19">
                  <c:v>6.2282725341207321</c:v>
                </c:pt>
                <c:pt idx="20">
                  <c:v>6.7521599138232693</c:v>
                </c:pt>
                <c:pt idx="21">
                  <c:v>7.2673871143919477</c:v>
                </c:pt>
                <c:pt idx="22">
                  <c:v>7.7687152620297439</c:v>
                </c:pt>
                <c:pt idx="23">
                  <c:v>8.2502639881889728</c:v>
                </c:pt>
                <c:pt idx="24">
                  <c:v>8.7058321769466289</c:v>
                </c:pt>
                <c:pt idx="25">
                  <c:v>9.1285772176290418</c:v>
                </c:pt>
                <c:pt idx="26">
                  <c:v>9.511977246937878</c:v>
                </c:pt>
                <c:pt idx="27">
                  <c:v>9.8498311489501269</c:v>
                </c:pt>
                <c:pt idx="28">
                  <c:v>10.137541544619419</c:v>
                </c:pt>
                <c:pt idx="29">
                  <c:v>10.371259465441815</c:v>
                </c:pt>
                <c:pt idx="30">
                  <c:v>10.545532206036741</c:v>
                </c:pt>
                <c:pt idx="31">
                  <c:v>10.654372482064737</c:v>
                </c:pt>
                <c:pt idx="32">
                  <c:v>10.691579177602796</c:v>
                </c:pt>
              </c:numCache>
            </c:numRef>
          </c:xVal>
          <c:yVal>
            <c:numRef>
              <c:f>Wing!$N$116:$N$148</c:f>
              <c:numCache>
                <c:formatCode>0.00</c:formatCode>
                <c:ptCount val="33"/>
                <c:pt idx="0">
                  <c:v>0</c:v>
                </c:pt>
                <c:pt idx="1">
                  <c:v>-2.88911626035716E-2</c:v>
                </c:pt>
                <c:pt idx="2">
                  <c:v>-0.12788998911981928</c:v>
                </c:pt>
                <c:pt idx="3">
                  <c:v>-0.18172708315774488</c:v>
                </c:pt>
                <c:pt idx="4">
                  <c:v>-0.2285199265928155</c:v>
                </c:pt>
                <c:pt idx="5">
                  <c:v>-0.26943426509370638</c:v>
                </c:pt>
                <c:pt idx="6">
                  <c:v>-0.30366276499631389</c:v>
                </c:pt>
                <c:pt idx="7">
                  <c:v>-0.3307220432333528</c:v>
                </c:pt>
                <c:pt idx="8">
                  <c:v>-0.35098857628143015</c:v>
                </c:pt>
                <c:pt idx="9">
                  <c:v>-0.36379321288319633</c:v>
                </c:pt>
                <c:pt idx="10" formatCode="0.000">
                  <c:v>-0.36896983886495166</c:v>
                </c:pt>
                <c:pt idx="11">
                  <c:v>-0.36702504549021142</c:v>
                </c:pt>
                <c:pt idx="12">
                  <c:v>-0.35004622499027188</c:v>
                </c:pt>
                <c:pt idx="13">
                  <c:v>-0.33488169299072479</c:v>
                </c:pt>
                <c:pt idx="14">
                  <c:v>-0.31360183993415153</c:v>
                </c:pt>
                <c:pt idx="15">
                  <c:v>-0.28622506921299778</c:v>
                </c:pt>
                <c:pt idx="16">
                  <c:v>-0.25382190115231584</c:v>
                </c:pt>
                <c:pt idx="17">
                  <c:v>-0.21761418181275316</c:v>
                </c:pt>
                <c:pt idx="18">
                  <c:v>-0.17943188058113479</c:v>
                </c:pt>
                <c:pt idx="19">
                  <c:v>-0.14368213922253356</c:v>
                </c:pt>
                <c:pt idx="20">
                  <c:v>-0.10754384372057128</c:v>
                </c:pt>
                <c:pt idx="21">
                  <c:v>-7.3756351830910297E-2</c:v>
                </c:pt>
                <c:pt idx="22">
                  <c:v>-4.3543035714729311E-2</c:v>
                </c:pt>
                <c:pt idx="23">
                  <c:v>-1.8018988933265E-2</c:v>
                </c:pt>
                <c:pt idx="24">
                  <c:v>2.3279793284166593E-3</c:v>
                </c:pt>
                <c:pt idx="25">
                  <c:v>1.6948066546182767E-2</c:v>
                </c:pt>
                <c:pt idx="26">
                  <c:v>2.1413805523927736E-2</c:v>
                </c:pt>
                <c:pt idx="27">
                  <c:v>2.4284017900386059E-2</c:v>
                </c:pt>
                <c:pt idx="28">
                  <c:v>2.2312960797212282E-2</c:v>
                </c:pt>
                <c:pt idx="29">
                  <c:v>1.6812616471144574E-2</c:v>
                </c:pt>
                <c:pt idx="30">
                  <c:v>9.5656634938379621E-3</c:v>
                </c:pt>
                <c:pt idx="31">
                  <c:v>2.837936636353676E-3</c:v>
                </c:pt>
                <c:pt idx="32">
                  <c:v>0</c:v>
                </c:pt>
              </c:numCache>
            </c:numRef>
          </c:yVal>
          <c:smooth val="1"/>
        </c:ser>
        <c:ser>
          <c:idx val="2"/>
          <c:order val="2"/>
          <c:tx>
            <c:strRef>
              <c:f>Wing!$S$114</c:f>
              <c:strCache>
                <c:ptCount val="1"/>
                <c:pt idx="0">
                  <c:v>Mean Camber Line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Wing!$Q$116:$Q$148</c:f>
              <c:numCache>
                <c:formatCode>0.00</c:formatCode>
                <c:ptCount val="33"/>
                <c:pt idx="0">
                  <c:v>0</c:v>
                </c:pt>
                <c:pt idx="1">
                  <c:v>1.1012326552930881E-2</c:v>
                </c:pt>
                <c:pt idx="2">
                  <c:v>6.008667497812771E-2</c:v>
                </c:pt>
                <c:pt idx="3">
                  <c:v>0.15075126640419942</c:v>
                </c:pt>
                <c:pt idx="4">
                  <c:v>0.28332684820647408</c:v>
                </c:pt>
                <c:pt idx="5">
                  <c:v>0.45674426246719141</c:v>
                </c:pt>
                <c:pt idx="6">
                  <c:v>0.67025509864391919</c:v>
                </c:pt>
                <c:pt idx="7">
                  <c:v>0.92343169356955346</c:v>
                </c:pt>
                <c:pt idx="8">
                  <c:v>1.2148841419510057</c:v>
                </c:pt>
                <c:pt idx="9">
                  <c:v>1.5430087069116354</c:v>
                </c:pt>
                <c:pt idx="10">
                  <c:v>1.9057739884076983</c:v>
                </c:pt>
                <c:pt idx="11">
                  <c:v>2.3009347548118977</c:v>
                </c:pt>
                <c:pt idx="12">
                  <c:v>2.7259250271216091</c:v>
                </c:pt>
                <c:pt idx="13">
                  <c:v>3.1775373315835509</c:v>
                </c:pt>
                <c:pt idx="14">
                  <c:v>3.6521365312773391</c:v>
                </c:pt>
                <c:pt idx="15">
                  <c:v>4.1460874892825883</c:v>
                </c:pt>
                <c:pt idx="16">
                  <c:v>4.655113573928257</c:v>
                </c:pt>
                <c:pt idx="17">
                  <c:v>5.1749381535433052</c:v>
                </c:pt>
                <c:pt idx="18">
                  <c:v>5.7009638490813632</c:v>
                </c:pt>
                <c:pt idx="19">
                  <c:v>6.2282725341207321</c:v>
                </c:pt>
                <c:pt idx="20">
                  <c:v>6.7521599138232693</c:v>
                </c:pt>
                <c:pt idx="21">
                  <c:v>7.2673871143919477</c:v>
                </c:pt>
                <c:pt idx="22">
                  <c:v>7.7687152620297439</c:v>
                </c:pt>
                <c:pt idx="23">
                  <c:v>8.2502639881889728</c:v>
                </c:pt>
                <c:pt idx="24">
                  <c:v>8.7058321769466289</c:v>
                </c:pt>
                <c:pt idx="25">
                  <c:v>9.1285772176290418</c:v>
                </c:pt>
                <c:pt idx="26">
                  <c:v>9.511977246937878</c:v>
                </c:pt>
                <c:pt idx="27">
                  <c:v>9.8498311489501269</c:v>
                </c:pt>
                <c:pt idx="28">
                  <c:v>10.137541544619419</c:v>
                </c:pt>
                <c:pt idx="29">
                  <c:v>10.371259465441815</c:v>
                </c:pt>
                <c:pt idx="30">
                  <c:v>10.545532206036741</c:v>
                </c:pt>
                <c:pt idx="31">
                  <c:v>10.654372482064737</c:v>
                </c:pt>
                <c:pt idx="32">
                  <c:v>10.691579177602796</c:v>
                </c:pt>
              </c:numCache>
            </c:numRef>
          </c:xVal>
          <c:yVal>
            <c:numRef>
              <c:f>Wing!$S$116:$S$148</c:f>
              <c:numCache>
                <c:formatCode>0.000</c:formatCode>
                <c:ptCount val="33"/>
                <c:pt idx="0">
                  <c:v>0</c:v>
                </c:pt>
                <c:pt idx="1">
                  <c:v>2.3562982674592139E-2</c:v>
                </c:pt>
                <c:pt idx="2">
                  <c:v>3.6074728646564524E-2</c:v>
                </c:pt>
                <c:pt idx="3">
                  <c:v>7.3840235652098629E-2</c:v>
                </c:pt>
                <c:pt idx="4">
                  <c:v>0.11560898902205233</c:v>
                </c:pt>
                <c:pt idx="5">
                  <c:v>0.15882017377423158</c:v>
                </c:pt>
                <c:pt idx="6">
                  <c:v>0.20184605669694353</c:v>
                </c:pt>
                <c:pt idx="7">
                  <c:v>0.24343150823896645</c:v>
                </c:pt>
                <c:pt idx="8">
                  <c:v>0.28221221645246064</c:v>
                </c:pt>
                <c:pt idx="9">
                  <c:v>0.31740014115245235</c:v>
                </c:pt>
                <c:pt idx="10">
                  <c:v>0.34822301309158354</c:v>
                </c:pt>
                <c:pt idx="11">
                  <c:v>0.37394641557510405</c:v>
                </c:pt>
                <c:pt idx="12">
                  <c:v>0.39815244721614995</c:v>
                </c:pt>
                <c:pt idx="13">
                  <c:v>0.41236349230603719</c:v>
                </c:pt>
                <c:pt idx="14">
                  <c:v>0.42059781351936321</c:v>
                </c:pt>
                <c:pt idx="15">
                  <c:v>0.42311349863934522</c:v>
                </c:pt>
                <c:pt idx="16">
                  <c:v>0.41990986646233713</c:v>
                </c:pt>
                <c:pt idx="17">
                  <c:v>0.41096403081278327</c:v>
                </c:pt>
                <c:pt idx="18">
                  <c:v>0.39616287543559164</c:v>
                </c:pt>
                <c:pt idx="19">
                  <c:v>0.37437198736598587</c:v>
                </c:pt>
                <c:pt idx="20">
                  <c:v>0.34807108152991545</c:v>
                </c:pt>
                <c:pt idx="21">
                  <c:v>0.31733384223852545</c:v>
                </c:pt>
                <c:pt idx="22">
                  <c:v>0.28304540449609106</c:v>
                </c:pt>
                <c:pt idx="23">
                  <c:v>0.24641233208629829</c:v>
                </c:pt>
                <c:pt idx="24">
                  <c:v>0.20884791518914264</c:v>
                </c:pt>
                <c:pt idx="25">
                  <c:v>0.17146715783564598</c:v>
                </c:pt>
                <c:pt idx="26">
                  <c:v>0.13307202644962787</c:v>
                </c:pt>
                <c:pt idx="27">
                  <c:v>9.8476510809335616E-2</c:v>
                </c:pt>
                <c:pt idx="28">
                  <c:v>6.6538860538588623E-2</c:v>
                </c:pt>
                <c:pt idx="29">
                  <c:v>3.8930766787628267E-2</c:v>
                </c:pt>
                <c:pt idx="30">
                  <c:v>1.7719642551818363E-2</c:v>
                </c:pt>
                <c:pt idx="31">
                  <c:v>4.466068383793635E-3</c:v>
                </c:pt>
                <c:pt idx="32">
                  <c:v>0</c:v>
                </c:pt>
              </c:numCache>
            </c:numRef>
          </c:yVal>
          <c:smooth val="1"/>
        </c:ser>
        <c:ser>
          <c:idx val="3"/>
          <c:order val="3"/>
          <c:tx>
            <c:strRef>
              <c:f>Wing!$Y$122</c:f>
              <c:strCache>
                <c:ptCount val="1"/>
                <c:pt idx="0">
                  <c:v>Carbon Fiber Tube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Wing!$CJ$121:$CJ$147</c:f>
              <c:numCache>
                <c:formatCode>0.000</c:formatCode>
                <c:ptCount val="27"/>
                <c:pt idx="0">
                  <c:v>2.5989250271216093</c:v>
                </c:pt>
                <c:pt idx="1">
                  <c:v>2.605925027121609</c:v>
                </c:pt>
                <c:pt idx="2">
                  <c:v>2.6159250271216092</c:v>
                </c:pt>
                <c:pt idx="3">
                  <c:v>2.625925027121609</c:v>
                </c:pt>
                <c:pt idx="4">
                  <c:v>2.6359250271216093</c:v>
                </c:pt>
                <c:pt idx="5">
                  <c:v>2.645925027121609</c:v>
                </c:pt>
                <c:pt idx="6">
                  <c:v>2.6559250271216093</c:v>
                </c:pt>
                <c:pt idx="7">
                  <c:v>2.6659250271216091</c:v>
                </c:pt>
                <c:pt idx="8">
                  <c:v>2.6759250271216093</c:v>
                </c:pt>
                <c:pt idx="9">
                  <c:v>2.6859250271216091</c:v>
                </c:pt>
                <c:pt idx="10">
                  <c:v>2.6959250271216093</c:v>
                </c:pt>
                <c:pt idx="11">
                  <c:v>2.7059250271216091</c:v>
                </c:pt>
                <c:pt idx="12">
                  <c:v>2.7159250271216093</c:v>
                </c:pt>
                <c:pt idx="13">
                  <c:v>2.7259250271216091</c:v>
                </c:pt>
                <c:pt idx="14">
                  <c:v>2.7359250271216089</c:v>
                </c:pt>
                <c:pt idx="15">
                  <c:v>2.7459250271216091</c:v>
                </c:pt>
                <c:pt idx="16">
                  <c:v>2.7559250271216089</c:v>
                </c:pt>
                <c:pt idx="17">
                  <c:v>2.7659250271216091</c:v>
                </c:pt>
                <c:pt idx="18">
                  <c:v>2.7759250271216089</c:v>
                </c:pt>
                <c:pt idx="19">
                  <c:v>2.7859250271216092</c:v>
                </c:pt>
                <c:pt idx="20">
                  <c:v>2.795925027121609</c:v>
                </c:pt>
                <c:pt idx="21">
                  <c:v>2.8059250271216092</c:v>
                </c:pt>
                <c:pt idx="22">
                  <c:v>2.815925027121609</c:v>
                </c:pt>
                <c:pt idx="23">
                  <c:v>2.8259250271216092</c:v>
                </c:pt>
                <c:pt idx="24">
                  <c:v>2.835925027121609</c:v>
                </c:pt>
                <c:pt idx="25">
                  <c:v>2.8459250271216092</c:v>
                </c:pt>
                <c:pt idx="26">
                  <c:v>2.8529250271216089</c:v>
                </c:pt>
              </c:numCache>
            </c:numRef>
          </c:xVal>
          <c:yVal>
            <c:numRef>
              <c:f>Wing!$CK$121:$CK$147</c:f>
              <c:numCache>
                <c:formatCode>0.000</c:formatCode>
                <c:ptCount val="27"/>
                <c:pt idx="0">
                  <c:v>0.39815244721614995</c:v>
                </c:pt>
                <c:pt idx="1">
                  <c:v>0.4397336929887336</c:v>
                </c:pt>
                <c:pt idx="2">
                  <c:v>0.46162685150638338</c:v>
                </c:pt>
                <c:pt idx="3">
                  <c:v>0.47644037732034927</c:v>
                </c:pt>
                <c:pt idx="4">
                  <c:v>0.48775713459354109</c:v>
                </c:pt>
                <c:pt idx="5">
                  <c:v>0.49678814055279152</c:v>
                </c:pt>
                <c:pt idx="6">
                  <c:v>0.50411942320395475</c:v>
                </c:pt>
                <c:pt idx="7">
                  <c:v>0.51008546289963808</c:v>
                </c:pt>
                <c:pt idx="8">
                  <c:v>0.51489575537554721</c:v>
                </c:pt>
                <c:pt idx="9">
                  <c:v>0.51868874880202076</c:v>
                </c:pt>
                <c:pt idx="10">
                  <c:v>0.52155828176217134</c:v>
                </c:pt>
                <c:pt idx="11">
                  <c:v>0.52356775728633242</c:v>
                </c:pt>
                <c:pt idx="12">
                  <c:v>0.52475813429220508</c:v>
                </c:pt>
                <c:pt idx="13">
                  <c:v>0.52515244721614995</c:v>
                </c:pt>
                <c:pt idx="14">
                  <c:v>0.52475813429220508</c:v>
                </c:pt>
                <c:pt idx="15">
                  <c:v>0.52356775728633242</c:v>
                </c:pt>
                <c:pt idx="16">
                  <c:v>0.52155828176217134</c:v>
                </c:pt>
                <c:pt idx="17">
                  <c:v>0.51868874880202076</c:v>
                </c:pt>
                <c:pt idx="18">
                  <c:v>0.51489575537554721</c:v>
                </c:pt>
                <c:pt idx="19">
                  <c:v>0.51008546289963808</c:v>
                </c:pt>
                <c:pt idx="20">
                  <c:v>0.50411942320395475</c:v>
                </c:pt>
                <c:pt idx="21">
                  <c:v>0.49678814055279152</c:v>
                </c:pt>
                <c:pt idx="22">
                  <c:v>0.48775713459354109</c:v>
                </c:pt>
                <c:pt idx="23">
                  <c:v>0.47644037732034927</c:v>
                </c:pt>
                <c:pt idx="24">
                  <c:v>0.46162685150638338</c:v>
                </c:pt>
                <c:pt idx="25">
                  <c:v>0.4397336929887336</c:v>
                </c:pt>
                <c:pt idx="26">
                  <c:v>0.39815244721614995</c:v>
                </c:pt>
              </c:numCache>
            </c:numRef>
          </c:yVal>
          <c:smooth val="1"/>
        </c:ser>
        <c:ser>
          <c:idx val="4"/>
          <c:order val="4"/>
          <c:tx>
            <c:strRef>
              <c:f>Wing!$Y$122</c:f>
              <c:strCache>
                <c:ptCount val="1"/>
                <c:pt idx="0">
                  <c:v>Carbon Fiber Tube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Wing!$CJ$121:$CJ$147</c:f>
              <c:numCache>
                <c:formatCode>0.000</c:formatCode>
                <c:ptCount val="27"/>
                <c:pt idx="0">
                  <c:v>2.5989250271216093</c:v>
                </c:pt>
                <c:pt idx="1">
                  <c:v>2.605925027121609</c:v>
                </c:pt>
                <c:pt idx="2">
                  <c:v>2.6159250271216092</c:v>
                </c:pt>
                <c:pt idx="3">
                  <c:v>2.625925027121609</c:v>
                </c:pt>
                <c:pt idx="4">
                  <c:v>2.6359250271216093</c:v>
                </c:pt>
                <c:pt idx="5">
                  <c:v>2.645925027121609</c:v>
                </c:pt>
                <c:pt idx="6">
                  <c:v>2.6559250271216093</c:v>
                </c:pt>
                <c:pt idx="7">
                  <c:v>2.6659250271216091</c:v>
                </c:pt>
                <c:pt idx="8">
                  <c:v>2.6759250271216093</c:v>
                </c:pt>
                <c:pt idx="9">
                  <c:v>2.6859250271216091</c:v>
                </c:pt>
                <c:pt idx="10">
                  <c:v>2.6959250271216093</c:v>
                </c:pt>
                <c:pt idx="11">
                  <c:v>2.7059250271216091</c:v>
                </c:pt>
                <c:pt idx="12">
                  <c:v>2.7159250271216093</c:v>
                </c:pt>
                <c:pt idx="13">
                  <c:v>2.7259250271216091</c:v>
                </c:pt>
                <c:pt idx="14">
                  <c:v>2.7359250271216089</c:v>
                </c:pt>
                <c:pt idx="15">
                  <c:v>2.7459250271216091</c:v>
                </c:pt>
                <c:pt idx="16">
                  <c:v>2.7559250271216089</c:v>
                </c:pt>
                <c:pt idx="17">
                  <c:v>2.7659250271216091</c:v>
                </c:pt>
                <c:pt idx="18">
                  <c:v>2.7759250271216089</c:v>
                </c:pt>
                <c:pt idx="19">
                  <c:v>2.7859250271216092</c:v>
                </c:pt>
                <c:pt idx="20">
                  <c:v>2.795925027121609</c:v>
                </c:pt>
                <c:pt idx="21">
                  <c:v>2.8059250271216092</c:v>
                </c:pt>
                <c:pt idx="22">
                  <c:v>2.815925027121609</c:v>
                </c:pt>
                <c:pt idx="23">
                  <c:v>2.8259250271216092</c:v>
                </c:pt>
                <c:pt idx="24">
                  <c:v>2.835925027121609</c:v>
                </c:pt>
                <c:pt idx="25">
                  <c:v>2.8459250271216092</c:v>
                </c:pt>
                <c:pt idx="26">
                  <c:v>2.8529250271216089</c:v>
                </c:pt>
              </c:numCache>
            </c:numRef>
          </c:xVal>
          <c:yVal>
            <c:numRef>
              <c:f>Wing!$CL$121:$CL$147</c:f>
              <c:numCache>
                <c:formatCode>0.000</c:formatCode>
                <c:ptCount val="27"/>
                <c:pt idx="0">
                  <c:v>0.39815244721614995</c:v>
                </c:pt>
                <c:pt idx="1">
                  <c:v>0.3565712014435663</c:v>
                </c:pt>
                <c:pt idx="2">
                  <c:v>0.33467804292591652</c:v>
                </c:pt>
                <c:pt idx="3">
                  <c:v>0.31986451711195063</c:v>
                </c:pt>
                <c:pt idx="4">
                  <c:v>0.30854775983875882</c:v>
                </c:pt>
                <c:pt idx="5">
                  <c:v>0.29951675387950838</c:v>
                </c:pt>
                <c:pt idx="6">
                  <c:v>0.29218547122834515</c:v>
                </c:pt>
                <c:pt idx="7">
                  <c:v>0.28621943153266183</c:v>
                </c:pt>
                <c:pt idx="8">
                  <c:v>0.28140913905675263</c:v>
                </c:pt>
                <c:pt idx="9">
                  <c:v>0.27761614563027914</c:v>
                </c:pt>
                <c:pt idx="10">
                  <c:v>0.27474661267012856</c:v>
                </c:pt>
                <c:pt idx="11">
                  <c:v>0.27273713714596753</c:v>
                </c:pt>
                <c:pt idx="12">
                  <c:v>0.27154676014009482</c:v>
                </c:pt>
                <c:pt idx="13">
                  <c:v>0.27115244721614995</c:v>
                </c:pt>
                <c:pt idx="14">
                  <c:v>0.27154676014009482</c:v>
                </c:pt>
                <c:pt idx="15">
                  <c:v>0.27273713714596753</c:v>
                </c:pt>
                <c:pt idx="16">
                  <c:v>0.27474661267012856</c:v>
                </c:pt>
                <c:pt idx="17">
                  <c:v>0.27761614563027914</c:v>
                </c:pt>
                <c:pt idx="18">
                  <c:v>0.28140913905675263</c:v>
                </c:pt>
                <c:pt idx="19">
                  <c:v>0.28621943153266183</c:v>
                </c:pt>
                <c:pt idx="20">
                  <c:v>0.29218547122834515</c:v>
                </c:pt>
                <c:pt idx="21">
                  <c:v>0.29951675387950838</c:v>
                </c:pt>
                <c:pt idx="22">
                  <c:v>0.30854775983875882</c:v>
                </c:pt>
                <c:pt idx="23">
                  <c:v>0.31986451711195063</c:v>
                </c:pt>
                <c:pt idx="24">
                  <c:v>0.33467804292591652</c:v>
                </c:pt>
                <c:pt idx="25">
                  <c:v>0.3565712014435663</c:v>
                </c:pt>
                <c:pt idx="26">
                  <c:v>0.39815244721614995</c:v>
                </c:pt>
              </c:numCache>
            </c:numRef>
          </c:yVal>
          <c:smooth val="1"/>
        </c:ser>
        <c:ser>
          <c:idx val="5"/>
          <c:order val="5"/>
          <c:tx>
            <c:v>modules weighted Centroid</c:v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Wing!$H$648</c:f>
              <c:numCache>
                <c:formatCode>General</c:formatCode>
                <c:ptCount val="1"/>
                <c:pt idx="0">
                  <c:v>4.2095632813437938</c:v>
                </c:pt>
              </c:numCache>
            </c:numRef>
          </c:xVal>
          <c:yVal>
            <c:numRef>
              <c:f>Wing!$H$650</c:f>
              <c:numCache>
                <c:formatCode>General</c:formatCode>
                <c:ptCount val="1"/>
                <c:pt idx="0">
                  <c:v>0.39609572179891905</c:v>
                </c:pt>
              </c:numCache>
            </c:numRef>
          </c:yVal>
          <c:smooth val="1"/>
        </c:ser>
        <c:ser>
          <c:idx val="6"/>
          <c:order val="6"/>
          <c:tx>
            <c:strRef>
              <c:f>Wing!$CR$115</c:f>
              <c:strCache>
                <c:ptCount val="1"/>
                <c:pt idx="0">
                  <c:v>Circular rod back</c:v>
                </c:pt>
              </c:strCache>
            </c:strRef>
          </c:tx>
          <c:xVal>
            <c:numRef>
              <c:f>Wing!$CP$121:$CP$147</c:f>
              <c:numCache>
                <c:formatCode>0.000</c:formatCode>
                <c:ptCount val="27"/>
                <c:pt idx="0">
                  <c:v>5.5739638490813634</c:v>
                </c:pt>
                <c:pt idx="1">
                  <c:v>5.5809638490813631</c:v>
                </c:pt>
                <c:pt idx="2">
                  <c:v>5.5909638490813629</c:v>
                </c:pt>
                <c:pt idx="3">
                  <c:v>5.6009638490813636</c:v>
                </c:pt>
                <c:pt idx="4">
                  <c:v>5.6109638490813634</c:v>
                </c:pt>
                <c:pt idx="5">
                  <c:v>5.6209638490813632</c:v>
                </c:pt>
                <c:pt idx="6">
                  <c:v>5.6309638490813629</c:v>
                </c:pt>
                <c:pt idx="7">
                  <c:v>5.6409638490813636</c:v>
                </c:pt>
                <c:pt idx="8">
                  <c:v>5.6509638490813634</c:v>
                </c:pt>
                <c:pt idx="9">
                  <c:v>5.6609638490813632</c:v>
                </c:pt>
                <c:pt idx="10">
                  <c:v>5.670963849081363</c:v>
                </c:pt>
                <c:pt idx="11">
                  <c:v>5.6809638490813636</c:v>
                </c:pt>
                <c:pt idx="12">
                  <c:v>5.6909638490813634</c:v>
                </c:pt>
                <c:pt idx="13">
                  <c:v>5.7009638490813632</c:v>
                </c:pt>
                <c:pt idx="14">
                  <c:v>5.710963849081363</c:v>
                </c:pt>
                <c:pt idx="15">
                  <c:v>5.7209638490813628</c:v>
                </c:pt>
                <c:pt idx="16">
                  <c:v>5.7309638490813635</c:v>
                </c:pt>
                <c:pt idx="17">
                  <c:v>5.7409638490813633</c:v>
                </c:pt>
                <c:pt idx="18">
                  <c:v>5.750963849081363</c:v>
                </c:pt>
                <c:pt idx="19">
                  <c:v>5.7609638490813628</c:v>
                </c:pt>
                <c:pt idx="20">
                  <c:v>5.7709638490813635</c:v>
                </c:pt>
                <c:pt idx="21">
                  <c:v>5.7809638490813633</c:v>
                </c:pt>
                <c:pt idx="22">
                  <c:v>5.7909638490813631</c:v>
                </c:pt>
                <c:pt idx="23">
                  <c:v>5.8009638490813629</c:v>
                </c:pt>
                <c:pt idx="24">
                  <c:v>5.8109638490813635</c:v>
                </c:pt>
                <c:pt idx="25">
                  <c:v>5.8209638490813633</c:v>
                </c:pt>
                <c:pt idx="26">
                  <c:v>5.827963849081363</c:v>
                </c:pt>
              </c:numCache>
            </c:numRef>
          </c:xVal>
          <c:yVal>
            <c:numRef>
              <c:f>Wing!$CQ$121:$CQ$147</c:f>
              <c:numCache>
                <c:formatCode>0.000</c:formatCode>
                <c:ptCount val="27"/>
                <c:pt idx="0">
                  <c:v>0.39616287543559164</c:v>
                </c:pt>
                <c:pt idx="1">
                  <c:v>0.4377441212081753</c:v>
                </c:pt>
                <c:pt idx="2">
                  <c:v>0.45963727972582508</c:v>
                </c:pt>
                <c:pt idx="3">
                  <c:v>0.47445080553979102</c:v>
                </c:pt>
                <c:pt idx="4">
                  <c:v>0.48576756281298278</c:v>
                </c:pt>
                <c:pt idx="5">
                  <c:v>0.49479856877223322</c:v>
                </c:pt>
                <c:pt idx="6">
                  <c:v>0.5021298514233965</c:v>
                </c:pt>
                <c:pt idx="7">
                  <c:v>0.50809589111907982</c:v>
                </c:pt>
                <c:pt idx="8">
                  <c:v>0.51290618359498896</c:v>
                </c:pt>
                <c:pt idx="9">
                  <c:v>0.5166991770214624</c:v>
                </c:pt>
                <c:pt idx="10">
                  <c:v>0.51956870998161298</c:v>
                </c:pt>
                <c:pt idx="11">
                  <c:v>0.52157818550577406</c:v>
                </c:pt>
                <c:pt idx="12">
                  <c:v>0.52276856251164683</c:v>
                </c:pt>
                <c:pt idx="13">
                  <c:v>0.5231628754355917</c:v>
                </c:pt>
                <c:pt idx="14">
                  <c:v>0.52276856251164683</c:v>
                </c:pt>
                <c:pt idx="15">
                  <c:v>0.52157818550577406</c:v>
                </c:pt>
                <c:pt idx="16">
                  <c:v>0.51956870998161298</c:v>
                </c:pt>
                <c:pt idx="17">
                  <c:v>0.5166991770214624</c:v>
                </c:pt>
                <c:pt idx="18">
                  <c:v>0.51290618359498896</c:v>
                </c:pt>
                <c:pt idx="19">
                  <c:v>0.50809589111907982</c:v>
                </c:pt>
                <c:pt idx="20">
                  <c:v>0.5021298514233965</c:v>
                </c:pt>
                <c:pt idx="21">
                  <c:v>0.49479856877223322</c:v>
                </c:pt>
                <c:pt idx="22">
                  <c:v>0.48576756281298278</c:v>
                </c:pt>
                <c:pt idx="23">
                  <c:v>0.47445080553979102</c:v>
                </c:pt>
                <c:pt idx="24">
                  <c:v>0.45963727972582508</c:v>
                </c:pt>
                <c:pt idx="25">
                  <c:v>0.4377441212081753</c:v>
                </c:pt>
                <c:pt idx="26">
                  <c:v>0.39616287543559164</c:v>
                </c:pt>
              </c:numCache>
            </c:numRef>
          </c:yVal>
          <c:smooth val="1"/>
        </c:ser>
        <c:ser>
          <c:idx val="7"/>
          <c:order val="7"/>
          <c:tx>
            <c:strRef>
              <c:f>Wing!$CR$115</c:f>
              <c:strCache>
                <c:ptCount val="1"/>
                <c:pt idx="0">
                  <c:v>Circular rod back</c:v>
                </c:pt>
              </c:strCache>
            </c:strRef>
          </c:tx>
          <c:xVal>
            <c:numRef>
              <c:f>Wing!$CP$121:$CP$147</c:f>
              <c:numCache>
                <c:formatCode>0.000</c:formatCode>
                <c:ptCount val="27"/>
                <c:pt idx="0">
                  <c:v>5.5739638490813634</c:v>
                </c:pt>
                <c:pt idx="1">
                  <c:v>5.5809638490813631</c:v>
                </c:pt>
                <c:pt idx="2">
                  <c:v>5.5909638490813629</c:v>
                </c:pt>
                <c:pt idx="3">
                  <c:v>5.6009638490813636</c:v>
                </c:pt>
                <c:pt idx="4">
                  <c:v>5.6109638490813634</c:v>
                </c:pt>
                <c:pt idx="5">
                  <c:v>5.6209638490813632</c:v>
                </c:pt>
                <c:pt idx="6">
                  <c:v>5.6309638490813629</c:v>
                </c:pt>
                <c:pt idx="7">
                  <c:v>5.6409638490813636</c:v>
                </c:pt>
                <c:pt idx="8">
                  <c:v>5.6509638490813634</c:v>
                </c:pt>
                <c:pt idx="9">
                  <c:v>5.6609638490813632</c:v>
                </c:pt>
                <c:pt idx="10">
                  <c:v>5.670963849081363</c:v>
                </c:pt>
                <c:pt idx="11">
                  <c:v>5.6809638490813636</c:v>
                </c:pt>
                <c:pt idx="12">
                  <c:v>5.6909638490813634</c:v>
                </c:pt>
                <c:pt idx="13">
                  <c:v>5.7009638490813632</c:v>
                </c:pt>
                <c:pt idx="14">
                  <c:v>5.710963849081363</c:v>
                </c:pt>
                <c:pt idx="15">
                  <c:v>5.7209638490813628</c:v>
                </c:pt>
                <c:pt idx="16">
                  <c:v>5.7309638490813635</c:v>
                </c:pt>
                <c:pt idx="17">
                  <c:v>5.7409638490813633</c:v>
                </c:pt>
                <c:pt idx="18">
                  <c:v>5.750963849081363</c:v>
                </c:pt>
                <c:pt idx="19">
                  <c:v>5.7609638490813628</c:v>
                </c:pt>
                <c:pt idx="20">
                  <c:v>5.7709638490813635</c:v>
                </c:pt>
                <c:pt idx="21">
                  <c:v>5.7809638490813633</c:v>
                </c:pt>
                <c:pt idx="22">
                  <c:v>5.7909638490813631</c:v>
                </c:pt>
                <c:pt idx="23">
                  <c:v>5.8009638490813629</c:v>
                </c:pt>
                <c:pt idx="24">
                  <c:v>5.8109638490813635</c:v>
                </c:pt>
                <c:pt idx="25">
                  <c:v>5.8209638490813633</c:v>
                </c:pt>
                <c:pt idx="26">
                  <c:v>5.827963849081363</c:v>
                </c:pt>
              </c:numCache>
            </c:numRef>
          </c:xVal>
          <c:yVal>
            <c:numRef>
              <c:f>Wing!$CR$121:$CR$147</c:f>
              <c:numCache>
                <c:formatCode>0.000</c:formatCode>
                <c:ptCount val="27"/>
                <c:pt idx="0">
                  <c:v>0.39616287543559164</c:v>
                </c:pt>
                <c:pt idx="1">
                  <c:v>0.35458162966300799</c:v>
                </c:pt>
                <c:pt idx="2">
                  <c:v>0.33268847114535821</c:v>
                </c:pt>
                <c:pt idx="3">
                  <c:v>0.31787494533139227</c:v>
                </c:pt>
                <c:pt idx="4">
                  <c:v>0.30655818805820051</c:v>
                </c:pt>
                <c:pt idx="5">
                  <c:v>0.29752718209895007</c:v>
                </c:pt>
                <c:pt idx="6">
                  <c:v>0.29019589944778684</c:v>
                </c:pt>
                <c:pt idx="7">
                  <c:v>0.28422985975210352</c:v>
                </c:pt>
                <c:pt idx="8">
                  <c:v>0.27941956727619432</c:v>
                </c:pt>
                <c:pt idx="9">
                  <c:v>0.27562657384972084</c:v>
                </c:pt>
                <c:pt idx="10">
                  <c:v>0.27275704088957026</c:v>
                </c:pt>
                <c:pt idx="11">
                  <c:v>0.27074756536540923</c:v>
                </c:pt>
                <c:pt idx="12">
                  <c:v>0.26955718835953646</c:v>
                </c:pt>
                <c:pt idx="13">
                  <c:v>0.26916287543559164</c:v>
                </c:pt>
                <c:pt idx="14">
                  <c:v>0.26955718835953646</c:v>
                </c:pt>
                <c:pt idx="15">
                  <c:v>0.27074756536540923</c:v>
                </c:pt>
                <c:pt idx="16">
                  <c:v>0.27275704088957026</c:v>
                </c:pt>
                <c:pt idx="17">
                  <c:v>0.27562657384972084</c:v>
                </c:pt>
                <c:pt idx="18">
                  <c:v>0.27941956727619432</c:v>
                </c:pt>
                <c:pt idx="19">
                  <c:v>0.28422985975210352</c:v>
                </c:pt>
                <c:pt idx="20">
                  <c:v>0.29019589944778684</c:v>
                </c:pt>
                <c:pt idx="21">
                  <c:v>0.29752718209895007</c:v>
                </c:pt>
                <c:pt idx="22">
                  <c:v>0.30655818805820051</c:v>
                </c:pt>
                <c:pt idx="23">
                  <c:v>0.31787494533139227</c:v>
                </c:pt>
                <c:pt idx="24">
                  <c:v>0.33268847114535821</c:v>
                </c:pt>
                <c:pt idx="25">
                  <c:v>0.35458162966300799</c:v>
                </c:pt>
                <c:pt idx="26">
                  <c:v>0.39616287543559164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486784"/>
        <c:axId val="126488576"/>
      </c:scatterChart>
      <c:valAx>
        <c:axId val="1264867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488576"/>
        <c:crosses val="autoZero"/>
        <c:crossBetween val="midCat"/>
        <c:majorUnit val="1"/>
        <c:minorUnit val="1"/>
      </c:valAx>
      <c:valAx>
        <c:axId val="126488576"/>
        <c:scaling>
          <c:orientation val="minMax"/>
          <c:max val="6"/>
          <c:min val="-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486784"/>
        <c:crossesAt val="0"/>
        <c:crossBetween val="midCat"/>
        <c:majorUnit val="1"/>
        <c:minorUnit val="1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Vertical!$AG$1</c:f>
              <c:strCache>
                <c:ptCount val="1"/>
                <c:pt idx="0">
                  <c:v>NACA 0006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Vertical!$AJ$3:$AJ$20</c:f>
              <c:numCache>
                <c:formatCode>General</c:formatCode>
                <c:ptCount val="18"/>
                <c:pt idx="0">
                  <c:v>14.976959141147677</c:v>
                </c:pt>
                <c:pt idx="1">
                  <c:v>14.228111184090293</c:v>
                </c:pt>
                <c:pt idx="2">
                  <c:v>13.479263227032909</c:v>
                </c:pt>
                <c:pt idx="3">
                  <c:v>11.981567312918141</c:v>
                </c:pt>
                <c:pt idx="4">
                  <c:v>10.483871398803375</c:v>
                </c:pt>
                <c:pt idx="5">
                  <c:v>8.9861754846886068</c:v>
                </c:pt>
                <c:pt idx="6">
                  <c:v>7.4884795705738387</c:v>
                </c:pt>
                <c:pt idx="7">
                  <c:v>5.9907836564590706</c:v>
                </c:pt>
                <c:pt idx="8">
                  <c:v>4.4930877423443034</c:v>
                </c:pt>
                <c:pt idx="9">
                  <c:v>3.7442397852869194</c:v>
                </c:pt>
                <c:pt idx="10">
                  <c:v>2.9953918282295353</c:v>
                </c:pt>
                <c:pt idx="11">
                  <c:v>2.2465438711721517</c:v>
                </c:pt>
                <c:pt idx="12">
                  <c:v>1.4976959141147677</c:v>
                </c:pt>
                <c:pt idx="13">
                  <c:v>1.1232719355860759</c:v>
                </c:pt>
                <c:pt idx="14">
                  <c:v>0.74884795705738383</c:v>
                </c:pt>
                <c:pt idx="15">
                  <c:v>0.37442397852869191</c:v>
                </c:pt>
                <c:pt idx="16">
                  <c:v>0.18721198926434596</c:v>
                </c:pt>
                <c:pt idx="17">
                  <c:v>0</c:v>
                </c:pt>
              </c:numCache>
            </c:numRef>
          </c:xVal>
          <c:yVal>
            <c:numRef>
              <c:f>Vertical!$AK$3:$AK$20</c:f>
              <c:numCache>
                <c:formatCode>General</c:formatCode>
                <c:ptCount val="18"/>
                <c:pt idx="0">
                  <c:v>0</c:v>
                </c:pt>
                <c:pt idx="1">
                  <c:v>6.0357145338825136E-2</c:v>
                </c:pt>
                <c:pt idx="2">
                  <c:v>0.10843318418190918</c:v>
                </c:pt>
                <c:pt idx="3">
                  <c:v>0.19649770393185753</c:v>
                </c:pt>
                <c:pt idx="4">
                  <c:v>0.27437789146582542</c:v>
                </c:pt>
                <c:pt idx="5">
                  <c:v>0.34177420760099003</c:v>
                </c:pt>
                <c:pt idx="6">
                  <c:v>0.39644010846617905</c:v>
                </c:pt>
                <c:pt idx="7">
                  <c:v>0.43463135427610561</c:v>
                </c:pt>
                <c:pt idx="8">
                  <c:v>0.44945854382584177</c:v>
                </c:pt>
                <c:pt idx="9">
                  <c:v>0.44496545608349752</c:v>
                </c:pt>
                <c:pt idx="10">
                  <c:v>0.42968895775952692</c:v>
                </c:pt>
                <c:pt idx="11">
                  <c:v>0.40033411784287742</c:v>
                </c:pt>
                <c:pt idx="12">
                  <c:v>0.35061061349426714</c:v>
                </c:pt>
                <c:pt idx="13">
                  <c:v>0.31451614196410127</c:v>
                </c:pt>
                <c:pt idx="14">
                  <c:v>0.26614056393819424</c:v>
                </c:pt>
                <c:pt idx="15">
                  <c:v>0.19574885597480013</c:v>
                </c:pt>
                <c:pt idx="16">
                  <c:v>0.14183180306666851</c:v>
                </c:pt>
                <c:pt idx="17">
                  <c:v>0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Vertical!$AG$1</c:f>
              <c:strCache>
                <c:ptCount val="1"/>
                <c:pt idx="0">
                  <c:v>NACA 0006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Vertical!$AJ$22:$AJ$39</c:f>
              <c:numCache>
                <c:formatCode>General</c:formatCode>
                <c:ptCount val="18"/>
                <c:pt idx="0">
                  <c:v>0.18721198926434596</c:v>
                </c:pt>
                <c:pt idx="1">
                  <c:v>0.37442397852869191</c:v>
                </c:pt>
                <c:pt idx="2">
                  <c:v>0.74884795705738383</c:v>
                </c:pt>
                <c:pt idx="3">
                  <c:v>1.1232719355860759</c:v>
                </c:pt>
                <c:pt idx="4">
                  <c:v>1.4976959141147677</c:v>
                </c:pt>
                <c:pt idx="5">
                  <c:v>2.2465438711721517</c:v>
                </c:pt>
                <c:pt idx="6">
                  <c:v>2.9953918282295353</c:v>
                </c:pt>
                <c:pt idx="7">
                  <c:v>3.7442397852869194</c:v>
                </c:pt>
                <c:pt idx="8">
                  <c:v>4.4930877423443034</c:v>
                </c:pt>
                <c:pt idx="9">
                  <c:v>5.9907836564590706</c:v>
                </c:pt>
                <c:pt idx="10">
                  <c:v>7.4884795705738387</c:v>
                </c:pt>
                <c:pt idx="11">
                  <c:v>8.9861754846886068</c:v>
                </c:pt>
                <c:pt idx="12">
                  <c:v>10.483871398803375</c:v>
                </c:pt>
                <c:pt idx="13">
                  <c:v>11.981567312918141</c:v>
                </c:pt>
                <c:pt idx="14">
                  <c:v>13.479263227032909</c:v>
                </c:pt>
                <c:pt idx="15">
                  <c:v>14.228111184090293</c:v>
                </c:pt>
                <c:pt idx="16">
                  <c:v>14.976959141147677</c:v>
                </c:pt>
              </c:numCache>
            </c:numRef>
          </c:xVal>
          <c:yVal>
            <c:numRef>
              <c:f>Vertical!$AK$22:$AK$39</c:f>
              <c:numCache>
                <c:formatCode>General</c:formatCode>
                <c:ptCount val="18"/>
                <c:pt idx="0">
                  <c:v>-0.14183180306666851</c:v>
                </c:pt>
                <c:pt idx="1">
                  <c:v>-0.19574885597480013</c:v>
                </c:pt>
                <c:pt idx="2">
                  <c:v>-0.26614056393819424</c:v>
                </c:pt>
                <c:pt idx="3">
                  <c:v>-0.31451614196410127</c:v>
                </c:pt>
                <c:pt idx="4">
                  <c:v>-0.35061061349426714</c:v>
                </c:pt>
                <c:pt idx="5">
                  <c:v>-0.40033411784287742</c:v>
                </c:pt>
                <c:pt idx="6">
                  <c:v>-0.42968895775952692</c:v>
                </c:pt>
                <c:pt idx="7">
                  <c:v>-0.44496545608349752</c:v>
                </c:pt>
                <c:pt idx="8">
                  <c:v>-0.44945854382584177</c:v>
                </c:pt>
                <c:pt idx="9">
                  <c:v>-0.43463135427610561</c:v>
                </c:pt>
                <c:pt idx="10">
                  <c:v>-0.39644010846617905</c:v>
                </c:pt>
                <c:pt idx="11">
                  <c:v>-0.34177420760099003</c:v>
                </c:pt>
                <c:pt idx="12">
                  <c:v>-0.27437789146582542</c:v>
                </c:pt>
                <c:pt idx="13">
                  <c:v>-0.19649770393185753</c:v>
                </c:pt>
                <c:pt idx="14">
                  <c:v>-0.10843318418190918</c:v>
                </c:pt>
                <c:pt idx="15">
                  <c:v>-6.0357145338825136E-2</c:v>
                </c:pt>
                <c:pt idx="16">
                  <c:v>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0817664"/>
        <c:axId val="126944000"/>
      </c:scatterChart>
      <c:valAx>
        <c:axId val="508176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944000"/>
        <c:crosses val="autoZero"/>
        <c:crossBetween val="midCat"/>
      </c:valAx>
      <c:valAx>
        <c:axId val="1269440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08176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Vertical!$A$372</c:f>
              <c:strCache>
                <c:ptCount val="1"/>
                <c:pt idx="0">
                  <c:v>Position From Root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4"/>
            <c:dispRSqr val="1"/>
            <c:dispEq val="1"/>
            <c:trendlineLbl>
              <c:layout>
                <c:manualLayout>
                  <c:x val="-0.18744504895623476"/>
                  <c:y val="-6.811663319621567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Vertical!$C$373:$C$673</c:f>
              <c:numCache>
                <c:formatCode>General</c:formatCode>
                <c:ptCount val="301"/>
                <c:pt idx="0">
                  <c:v>0</c:v>
                </c:pt>
                <c:pt idx="1">
                  <c:v>1.4741101516877636E-2</c:v>
                </c:pt>
                <c:pt idx="2">
                  <c:v>2.9482203033755271E-2</c:v>
                </c:pt>
                <c:pt idx="3">
                  <c:v>4.4223304550632898E-2</c:v>
                </c:pt>
                <c:pt idx="4">
                  <c:v>5.8964406067510543E-2</c:v>
                </c:pt>
                <c:pt idx="5">
                  <c:v>7.3705507584388166E-2</c:v>
                </c:pt>
                <c:pt idx="6">
                  <c:v>8.8446609101265797E-2</c:v>
                </c:pt>
                <c:pt idx="7">
                  <c:v>0.10318771061814346</c:v>
                </c:pt>
                <c:pt idx="8">
                  <c:v>0.11792881213502109</c:v>
                </c:pt>
                <c:pt idx="9">
                  <c:v>0.1326699136518987</c:v>
                </c:pt>
                <c:pt idx="10">
                  <c:v>0.14741101516877633</c:v>
                </c:pt>
                <c:pt idx="11">
                  <c:v>0.16215211668565399</c:v>
                </c:pt>
                <c:pt idx="12">
                  <c:v>0.17689321820253159</c:v>
                </c:pt>
                <c:pt idx="13">
                  <c:v>0.19163431971940922</c:v>
                </c:pt>
                <c:pt idx="14">
                  <c:v>0.20637542123628691</c:v>
                </c:pt>
                <c:pt idx="15">
                  <c:v>0.22111652275316454</c:v>
                </c:pt>
                <c:pt idx="16">
                  <c:v>0.23585762427004217</c:v>
                </c:pt>
                <c:pt idx="17">
                  <c:v>0.25059872578691977</c:v>
                </c:pt>
                <c:pt idx="18">
                  <c:v>0.2653398273037974</c:v>
                </c:pt>
                <c:pt idx="19">
                  <c:v>0.28008092882067503</c:v>
                </c:pt>
                <c:pt idx="20">
                  <c:v>0.29482203033755267</c:v>
                </c:pt>
                <c:pt idx="21">
                  <c:v>0.3095631318544303</c:v>
                </c:pt>
                <c:pt idx="22">
                  <c:v>0.32430423337130798</c:v>
                </c:pt>
                <c:pt idx="23">
                  <c:v>0.33904533488818556</c:v>
                </c:pt>
                <c:pt idx="24">
                  <c:v>0.35378643640506319</c:v>
                </c:pt>
                <c:pt idx="25">
                  <c:v>0.36852753792194087</c:v>
                </c:pt>
                <c:pt idx="26">
                  <c:v>0.38326863943881845</c:v>
                </c:pt>
                <c:pt idx="27">
                  <c:v>0.39800974095569613</c:v>
                </c:pt>
                <c:pt idx="28">
                  <c:v>0.41275084247257382</c:v>
                </c:pt>
                <c:pt idx="29">
                  <c:v>0.4274919439894514</c:v>
                </c:pt>
                <c:pt idx="30">
                  <c:v>0.44223304550632908</c:v>
                </c:pt>
                <c:pt idx="31">
                  <c:v>0.45697414702320666</c:v>
                </c:pt>
                <c:pt idx="32">
                  <c:v>0.47171524854008434</c:v>
                </c:pt>
                <c:pt idx="33">
                  <c:v>0.48645635005696192</c:v>
                </c:pt>
                <c:pt idx="34">
                  <c:v>0.50119745157383955</c:v>
                </c:pt>
                <c:pt idx="35">
                  <c:v>0.51593855309071712</c:v>
                </c:pt>
                <c:pt idx="36">
                  <c:v>0.53067965460759481</c:v>
                </c:pt>
                <c:pt idx="37">
                  <c:v>0.54542075612447238</c:v>
                </c:pt>
                <c:pt idx="38">
                  <c:v>0.56016185764135007</c:v>
                </c:pt>
                <c:pt idx="39">
                  <c:v>0.57490295915822764</c:v>
                </c:pt>
                <c:pt idx="40">
                  <c:v>0.58964406067510533</c:v>
                </c:pt>
                <c:pt idx="41">
                  <c:v>0.60438516219198302</c:v>
                </c:pt>
                <c:pt idx="42">
                  <c:v>0.61912626370886059</c:v>
                </c:pt>
                <c:pt idx="43">
                  <c:v>0.63386736522573817</c:v>
                </c:pt>
                <c:pt idx="44">
                  <c:v>0.64860846674261596</c:v>
                </c:pt>
                <c:pt idx="45">
                  <c:v>0.66334956825949354</c:v>
                </c:pt>
                <c:pt idx="46">
                  <c:v>0.67809066977637111</c:v>
                </c:pt>
                <c:pt idx="47">
                  <c:v>0.6928317712932488</c:v>
                </c:pt>
                <c:pt idx="48">
                  <c:v>0.70757287281012637</c:v>
                </c:pt>
                <c:pt idx="49">
                  <c:v>0.72231397432700406</c:v>
                </c:pt>
                <c:pt idx="50">
                  <c:v>0.73705507584388175</c:v>
                </c:pt>
                <c:pt idx="51">
                  <c:v>0.75179617736075932</c:v>
                </c:pt>
                <c:pt idx="52">
                  <c:v>0.7665372788776369</c:v>
                </c:pt>
                <c:pt idx="53">
                  <c:v>0.78127838039451469</c:v>
                </c:pt>
                <c:pt idx="54">
                  <c:v>0.79601948191139227</c:v>
                </c:pt>
                <c:pt idx="55">
                  <c:v>0.81076058342826995</c:v>
                </c:pt>
                <c:pt idx="56">
                  <c:v>0.82550168494514764</c:v>
                </c:pt>
                <c:pt idx="57">
                  <c:v>0.8402427864620251</c:v>
                </c:pt>
                <c:pt idx="58">
                  <c:v>0.85498388797890279</c:v>
                </c:pt>
                <c:pt idx="59">
                  <c:v>0.86972498949578025</c:v>
                </c:pt>
                <c:pt idx="60">
                  <c:v>0.88446609101265816</c:v>
                </c:pt>
                <c:pt idx="61">
                  <c:v>0.89920719252953563</c:v>
                </c:pt>
                <c:pt idx="62">
                  <c:v>0.91394829404641331</c:v>
                </c:pt>
                <c:pt idx="63">
                  <c:v>0.928689395563291</c:v>
                </c:pt>
                <c:pt idx="64">
                  <c:v>0.94343049708016868</c:v>
                </c:pt>
                <c:pt idx="65">
                  <c:v>0.95817159859704615</c:v>
                </c:pt>
                <c:pt idx="66">
                  <c:v>0.97291270011392383</c:v>
                </c:pt>
                <c:pt idx="67">
                  <c:v>0.98765380163080152</c:v>
                </c:pt>
                <c:pt idx="68">
                  <c:v>1.0023949031476791</c:v>
                </c:pt>
                <c:pt idx="69">
                  <c:v>1.0171360046645568</c:v>
                </c:pt>
                <c:pt idx="70">
                  <c:v>1.0318771061814342</c:v>
                </c:pt>
                <c:pt idx="71">
                  <c:v>1.0466182076983119</c:v>
                </c:pt>
                <c:pt idx="72">
                  <c:v>1.0613593092151896</c:v>
                </c:pt>
                <c:pt idx="73">
                  <c:v>1.0761004107320673</c:v>
                </c:pt>
                <c:pt idx="74">
                  <c:v>1.0908415122489448</c:v>
                </c:pt>
                <c:pt idx="75">
                  <c:v>1.1055826137658225</c:v>
                </c:pt>
                <c:pt idx="76">
                  <c:v>1.1203237152827001</c:v>
                </c:pt>
                <c:pt idx="77">
                  <c:v>1.1350648167995778</c:v>
                </c:pt>
                <c:pt idx="78">
                  <c:v>1.1498059183164553</c:v>
                </c:pt>
                <c:pt idx="79">
                  <c:v>1.164547019833333</c:v>
                </c:pt>
                <c:pt idx="80">
                  <c:v>1.1792881213502107</c:v>
                </c:pt>
                <c:pt idx="81">
                  <c:v>1.1940292228670883</c:v>
                </c:pt>
                <c:pt idx="82">
                  <c:v>1.208770324383966</c:v>
                </c:pt>
                <c:pt idx="83">
                  <c:v>1.2235114259008435</c:v>
                </c:pt>
                <c:pt idx="84">
                  <c:v>1.2382525274177212</c:v>
                </c:pt>
                <c:pt idx="85">
                  <c:v>1.2529936289345989</c:v>
                </c:pt>
                <c:pt idx="86">
                  <c:v>1.2677347304514763</c:v>
                </c:pt>
                <c:pt idx="87">
                  <c:v>1.282475831968354</c:v>
                </c:pt>
                <c:pt idx="88">
                  <c:v>1.2972169334852319</c:v>
                </c:pt>
                <c:pt idx="89">
                  <c:v>1.3119580350021092</c:v>
                </c:pt>
                <c:pt idx="90">
                  <c:v>1.3266991365189871</c:v>
                </c:pt>
                <c:pt idx="91">
                  <c:v>1.3414402380358648</c:v>
                </c:pt>
                <c:pt idx="92">
                  <c:v>1.3561813395527422</c:v>
                </c:pt>
                <c:pt idx="93">
                  <c:v>1.3709224410696199</c:v>
                </c:pt>
                <c:pt idx="94">
                  <c:v>1.3856635425864976</c:v>
                </c:pt>
                <c:pt idx="95">
                  <c:v>1.4004046441033751</c:v>
                </c:pt>
                <c:pt idx="96">
                  <c:v>1.4151457456202527</c:v>
                </c:pt>
                <c:pt idx="97">
                  <c:v>1.4298868471371307</c:v>
                </c:pt>
                <c:pt idx="98">
                  <c:v>1.4446279486540081</c:v>
                </c:pt>
                <c:pt idx="99">
                  <c:v>1.4593690501708858</c:v>
                </c:pt>
                <c:pt idx="100">
                  <c:v>1.4741101516877635</c:v>
                </c:pt>
                <c:pt idx="101">
                  <c:v>1.488851253204641</c:v>
                </c:pt>
                <c:pt idx="102">
                  <c:v>1.5035923547215186</c:v>
                </c:pt>
                <c:pt idx="103">
                  <c:v>1.5183334562383966</c:v>
                </c:pt>
                <c:pt idx="104">
                  <c:v>1.5330745577552738</c:v>
                </c:pt>
                <c:pt idx="105">
                  <c:v>1.5478156592721517</c:v>
                </c:pt>
                <c:pt idx="106">
                  <c:v>1.5625567607890294</c:v>
                </c:pt>
                <c:pt idx="107">
                  <c:v>1.5772978623059069</c:v>
                </c:pt>
                <c:pt idx="108">
                  <c:v>1.5920389638227845</c:v>
                </c:pt>
                <c:pt idx="109">
                  <c:v>1.6067800653396622</c:v>
                </c:pt>
                <c:pt idx="110">
                  <c:v>1.6215211668565399</c:v>
                </c:pt>
                <c:pt idx="111">
                  <c:v>1.6362622683734176</c:v>
                </c:pt>
                <c:pt idx="112">
                  <c:v>1.6510033698902953</c:v>
                </c:pt>
                <c:pt idx="113">
                  <c:v>1.6657444714071725</c:v>
                </c:pt>
                <c:pt idx="114">
                  <c:v>1.6804855729240502</c:v>
                </c:pt>
                <c:pt idx="115">
                  <c:v>1.6952266744409279</c:v>
                </c:pt>
                <c:pt idx="116">
                  <c:v>1.7099677759578056</c:v>
                </c:pt>
                <c:pt idx="117">
                  <c:v>1.7247088774746833</c:v>
                </c:pt>
                <c:pt idx="118">
                  <c:v>1.7394499789915605</c:v>
                </c:pt>
                <c:pt idx="119">
                  <c:v>1.7541910805084386</c:v>
                </c:pt>
                <c:pt idx="120">
                  <c:v>1.7689321820253163</c:v>
                </c:pt>
                <c:pt idx="121">
                  <c:v>1.7836732835421936</c:v>
                </c:pt>
                <c:pt idx="122">
                  <c:v>1.7984143850590713</c:v>
                </c:pt>
                <c:pt idx="123">
                  <c:v>1.8131554865759489</c:v>
                </c:pt>
                <c:pt idx="124">
                  <c:v>1.8278965880928266</c:v>
                </c:pt>
                <c:pt idx="125">
                  <c:v>1.8426376896097043</c:v>
                </c:pt>
                <c:pt idx="126">
                  <c:v>1.857378791126582</c:v>
                </c:pt>
                <c:pt idx="127">
                  <c:v>1.8721198926434592</c:v>
                </c:pt>
                <c:pt idx="128">
                  <c:v>1.8868609941603374</c:v>
                </c:pt>
                <c:pt idx="129">
                  <c:v>1.9016020956772151</c:v>
                </c:pt>
                <c:pt idx="130">
                  <c:v>1.9163431971940923</c:v>
                </c:pt>
                <c:pt idx="131">
                  <c:v>1.93108429871097</c:v>
                </c:pt>
                <c:pt idx="132">
                  <c:v>1.9458254002278477</c:v>
                </c:pt>
                <c:pt idx="133">
                  <c:v>1.9605665017447254</c:v>
                </c:pt>
                <c:pt idx="134">
                  <c:v>1.975307603261603</c:v>
                </c:pt>
                <c:pt idx="135">
                  <c:v>1.9900487047784807</c:v>
                </c:pt>
                <c:pt idx="136">
                  <c:v>2.0047898062953582</c:v>
                </c:pt>
                <c:pt idx="137">
                  <c:v>2.0195309078122361</c:v>
                </c:pt>
                <c:pt idx="138">
                  <c:v>2.0342720093291136</c:v>
                </c:pt>
                <c:pt idx="139">
                  <c:v>2.049013110845991</c:v>
                </c:pt>
                <c:pt idx="140">
                  <c:v>2.0637542123628685</c:v>
                </c:pt>
                <c:pt idx="141">
                  <c:v>2.0784953138797468</c:v>
                </c:pt>
                <c:pt idx="142">
                  <c:v>2.0932364153966239</c:v>
                </c:pt>
                <c:pt idx="143">
                  <c:v>2.1079775169135018</c:v>
                </c:pt>
                <c:pt idx="144">
                  <c:v>2.1227186184303792</c:v>
                </c:pt>
                <c:pt idx="145">
                  <c:v>2.1374597199472571</c:v>
                </c:pt>
                <c:pt idx="146">
                  <c:v>2.1522008214641346</c:v>
                </c:pt>
                <c:pt idx="147">
                  <c:v>2.1669419229810121</c:v>
                </c:pt>
                <c:pt idx="148">
                  <c:v>2.1816830244978895</c:v>
                </c:pt>
                <c:pt idx="149">
                  <c:v>2.1964241260147674</c:v>
                </c:pt>
                <c:pt idx="150">
                  <c:v>2.2111652275316449</c:v>
                </c:pt>
                <c:pt idx="151">
                  <c:v>2.2259063290485228</c:v>
                </c:pt>
                <c:pt idx="152">
                  <c:v>2.2406474305654003</c:v>
                </c:pt>
                <c:pt idx="153">
                  <c:v>2.2553885320822777</c:v>
                </c:pt>
                <c:pt idx="154">
                  <c:v>2.2701296335991556</c:v>
                </c:pt>
                <c:pt idx="155">
                  <c:v>2.2848707351160336</c:v>
                </c:pt>
                <c:pt idx="156">
                  <c:v>2.2996118366329106</c:v>
                </c:pt>
                <c:pt idx="157">
                  <c:v>2.3143529381497885</c:v>
                </c:pt>
                <c:pt idx="158">
                  <c:v>2.3290940396666659</c:v>
                </c:pt>
                <c:pt idx="159">
                  <c:v>2.3438351411835439</c:v>
                </c:pt>
                <c:pt idx="160">
                  <c:v>2.3585762427004213</c:v>
                </c:pt>
                <c:pt idx="161">
                  <c:v>2.3733173442172992</c:v>
                </c:pt>
                <c:pt idx="162">
                  <c:v>2.3880584457341767</c:v>
                </c:pt>
                <c:pt idx="163">
                  <c:v>2.4027995472510546</c:v>
                </c:pt>
                <c:pt idx="164">
                  <c:v>2.4175406487679321</c:v>
                </c:pt>
                <c:pt idx="165">
                  <c:v>2.4322817502848095</c:v>
                </c:pt>
                <c:pt idx="166">
                  <c:v>2.447022851801687</c:v>
                </c:pt>
                <c:pt idx="167">
                  <c:v>2.4617639533185653</c:v>
                </c:pt>
                <c:pt idx="168">
                  <c:v>2.4765050548354424</c:v>
                </c:pt>
                <c:pt idx="169">
                  <c:v>2.4912461563523198</c:v>
                </c:pt>
                <c:pt idx="170">
                  <c:v>2.5059872578691977</c:v>
                </c:pt>
                <c:pt idx="171">
                  <c:v>2.5207283593860756</c:v>
                </c:pt>
                <c:pt idx="172">
                  <c:v>2.5354694609029527</c:v>
                </c:pt>
                <c:pt idx="173">
                  <c:v>2.550210562419831</c:v>
                </c:pt>
                <c:pt idx="174">
                  <c:v>2.564951663936708</c:v>
                </c:pt>
                <c:pt idx="175">
                  <c:v>2.5796927654535859</c:v>
                </c:pt>
                <c:pt idx="176">
                  <c:v>2.5944338669704639</c:v>
                </c:pt>
                <c:pt idx="177">
                  <c:v>2.6091749684873413</c:v>
                </c:pt>
                <c:pt idx="178">
                  <c:v>2.6239160700042183</c:v>
                </c:pt>
                <c:pt idx="179">
                  <c:v>2.6386571715210967</c:v>
                </c:pt>
                <c:pt idx="180">
                  <c:v>2.6533982730379742</c:v>
                </c:pt>
                <c:pt idx="181">
                  <c:v>2.6681393745548516</c:v>
                </c:pt>
                <c:pt idx="182">
                  <c:v>2.6828804760717295</c:v>
                </c:pt>
                <c:pt idx="183">
                  <c:v>2.697621577588607</c:v>
                </c:pt>
                <c:pt idx="184">
                  <c:v>2.7123626791054845</c:v>
                </c:pt>
                <c:pt idx="185">
                  <c:v>2.7271037806223628</c:v>
                </c:pt>
                <c:pt idx="186">
                  <c:v>2.7418448821392398</c:v>
                </c:pt>
                <c:pt idx="187">
                  <c:v>2.7565859836561173</c:v>
                </c:pt>
                <c:pt idx="188">
                  <c:v>2.7713270851729952</c:v>
                </c:pt>
                <c:pt idx="189">
                  <c:v>2.7860681866898731</c:v>
                </c:pt>
                <c:pt idx="190">
                  <c:v>2.8008092882067501</c:v>
                </c:pt>
                <c:pt idx="191">
                  <c:v>2.8155503897236285</c:v>
                </c:pt>
                <c:pt idx="192">
                  <c:v>2.8302914912405055</c:v>
                </c:pt>
                <c:pt idx="193">
                  <c:v>2.8450325927573834</c:v>
                </c:pt>
                <c:pt idx="194">
                  <c:v>2.8597736942742613</c:v>
                </c:pt>
                <c:pt idx="195">
                  <c:v>2.8745147957911388</c:v>
                </c:pt>
                <c:pt idx="196">
                  <c:v>2.8892558973080162</c:v>
                </c:pt>
                <c:pt idx="197">
                  <c:v>2.9039969988248941</c:v>
                </c:pt>
                <c:pt idx="198">
                  <c:v>2.9187381003417716</c:v>
                </c:pt>
                <c:pt idx="199">
                  <c:v>2.9334792018586491</c:v>
                </c:pt>
                <c:pt idx="200">
                  <c:v>2.948220303375527</c:v>
                </c:pt>
                <c:pt idx="201">
                  <c:v>2.9629614048924049</c:v>
                </c:pt>
                <c:pt idx="202">
                  <c:v>2.9777025064092819</c:v>
                </c:pt>
                <c:pt idx="203">
                  <c:v>2.9924436079261598</c:v>
                </c:pt>
                <c:pt idx="204">
                  <c:v>3.0071847094430373</c:v>
                </c:pt>
                <c:pt idx="205">
                  <c:v>3.0219258109599152</c:v>
                </c:pt>
                <c:pt idx="206">
                  <c:v>3.0366669124767931</c:v>
                </c:pt>
                <c:pt idx="207">
                  <c:v>3.0514080139936706</c:v>
                </c:pt>
                <c:pt idx="208">
                  <c:v>3.0661491155105476</c:v>
                </c:pt>
                <c:pt idx="209">
                  <c:v>3.0808902170274259</c:v>
                </c:pt>
                <c:pt idx="210">
                  <c:v>3.0956313185443034</c:v>
                </c:pt>
                <c:pt idx="211">
                  <c:v>3.1103724200611809</c:v>
                </c:pt>
                <c:pt idx="212">
                  <c:v>3.1251135215780588</c:v>
                </c:pt>
                <c:pt idx="213">
                  <c:v>3.1398546230949362</c:v>
                </c:pt>
                <c:pt idx="214">
                  <c:v>3.1545957246118137</c:v>
                </c:pt>
                <c:pt idx="215">
                  <c:v>3.1693368261286916</c:v>
                </c:pt>
                <c:pt idx="216">
                  <c:v>3.1840779276455691</c:v>
                </c:pt>
                <c:pt idx="217">
                  <c:v>3.198819029162447</c:v>
                </c:pt>
                <c:pt idx="218">
                  <c:v>3.2135601306793244</c:v>
                </c:pt>
                <c:pt idx="219">
                  <c:v>3.2283012321962019</c:v>
                </c:pt>
                <c:pt idx="220">
                  <c:v>3.2430423337130798</c:v>
                </c:pt>
                <c:pt idx="221">
                  <c:v>3.2577834352299573</c:v>
                </c:pt>
                <c:pt idx="222">
                  <c:v>3.2725245367468352</c:v>
                </c:pt>
                <c:pt idx="223">
                  <c:v>3.2872656382637122</c:v>
                </c:pt>
                <c:pt idx="224">
                  <c:v>3.3020067397805906</c:v>
                </c:pt>
                <c:pt idx="225">
                  <c:v>3.3167478412974676</c:v>
                </c:pt>
                <c:pt idx="226">
                  <c:v>3.331488942814345</c:v>
                </c:pt>
                <c:pt idx="227">
                  <c:v>3.346230044331223</c:v>
                </c:pt>
                <c:pt idx="228">
                  <c:v>3.3609711458481004</c:v>
                </c:pt>
                <c:pt idx="229">
                  <c:v>3.3757122473649783</c:v>
                </c:pt>
                <c:pt idx="230">
                  <c:v>3.3904533488818558</c:v>
                </c:pt>
                <c:pt idx="231">
                  <c:v>3.4051944503987337</c:v>
                </c:pt>
                <c:pt idx="232">
                  <c:v>3.4199355519156112</c:v>
                </c:pt>
                <c:pt idx="233">
                  <c:v>3.4346766534324886</c:v>
                </c:pt>
                <c:pt idx="234">
                  <c:v>3.4494177549493665</c:v>
                </c:pt>
                <c:pt idx="235">
                  <c:v>3.464158856466244</c:v>
                </c:pt>
                <c:pt idx="236">
                  <c:v>3.478899957983121</c:v>
                </c:pt>
                <c:pt idx="237">
                  <c:v>3.4936410594999994</c:v>
                </c:pt>
                <c:pt idx="238">
                  <c:v>3.5083821610168773</c:v>
                </c:pt>
                <c:pt idx="239">
                  <c:v>3.5231232625337543</c:v>
                </c:pt>
                <c:pt idx="240">
                  <c:v>3.5378643640506326</c:v>
                </c:pt>
                <c:pt idx="241">
                  <c:v>3.5526054655675097</c:v>
                </c:pt>
                <c:pt idx="242">
                  <c:v>3.5673465670843871</c:v>
                </c:pt>
                <c:pt idx="243">
                  <c:v>3.5820876686012655</c:v>
                </c:pt>
                <c:pt idx="244">
                  <c:v>3.5968287701181425</c:v>
                </c:pt>
                <c:pt idx="245">
                  <c:v>3.6115698716350204</c:v>
                </c:pt>
                <c:pt idx="246">
                  <c:v>3.6263109731518979</c:v>
                </c:pt>
                <c:pt idx="247">
                  <c:v>3.6410520746687758</c:v>
                </c:pt>
                <c:pt idx="248">
                  <c:v>3.6557931761856532</c:v>
                </c:pt>
                <c:pt idx="249">
                  <c:v>3.6705342777025307</c:v>
                </c:pt>
                <c:pt idx="250">
                  <c:v>3.6852753792194086</c:v>
                </c:pt>
                <c:pt idx="251">
                  <c:v>3.7000164807362861</c:v>
                </c:pt>
                <c:pt idx="252">
                  <c:v>3.714757582253164</c:v>
                </c:pt>
                <c:pt idx="253">
                  <c:v>3.7294986837700415</c:v>
                </c:pt>
                <c:pt idx="254">
                  <c:v>3.7442397852869185</c:v>
                </c:pt>
                <c:pt idx="255">
                  <c:v>3.7589808868037968</c:v>
                </c:pt>
                <c:pt idx="256">
                  <c:v>3.7737219883206747</c:v>
                </c:pt>
                <c:pt idx="257">
                  <c:v>3.7884630898375518</c:v>
                </c:pt>
                <c:pt idx="258">
                  <c:v>3.8032041913544301</c:v>
                </c:pt>
                <c:pt idx="259">
                  <c:v>3.8179452928713071</c:v>
                </c:pt>
                <c:pt idx="260">
                  <c:v>3.8326863943881846</c:v>
                </c:pt>
                <c:pt idx="261">
                  <c:v>3.8474274959050629</c:v>
                </c:pt>
                <c:pt idx="262">
                  <c:v>3.86216859742194</c:v>
                </c:pt>
                <c:pt idx="263">
                  <c:v>3.8769096989388179</c:v>
                </c:pt>
                <c:pt idx="264">
                  <c:v>3.8916508004556953</c:v>
                </c:pt>
                <c:pt idx="265">
                  <c:v>3.9063919019725728</c:v>
                </c:pt>
                <c:pt idx="266">
                  <c:v>3.9211330034894507</c:v>
                </c:pt>
                <c:pt idx="267">
                  <c:v>3.9358741050063282</c:v>
                </c:pt>
                <c:pt idx="268">
                  <c:v>3.9506152065232061</c:v>
                </c:pt>
                <c:pt idx="269">
                  <c:v>3.9653563080400835</c:v>
                </c:pt>
                <c:pt idx="270">
                  <c:v>3.9800974095569615</c:v>
                </c:pt>
                <c:pt idx="271">
                  <c:v>3.9948385110738389</c:v>
                </c:pt>
                <c:pt idx="272">
                  <c:v>4.0095796125907164</c:v>
                </c:pt>
                <c:pt idx="273">
                  <c:v>4.0243207141075947</c:v>
                </c:pt>
                <c:pt idx="274">
                  <c:v>4.0390618156244722</c:v>
                </c:pt>
                <c:pt idx="275">
                  <c:v>4.0538029171413488</c:v>
                </c:pt>
                <c:pt idx="276">
                  <c:v>4.0685440186582271</c:v>
                </c:pt>
                <c:pt idx="277">
                  <c:v>4.0832851201751055</c:v>
                </c:pt>
                <c:pt idx="278">
                  <c:v>4.0980262216919821</c:v>
                </c:pt>
                <c:pt idx="279">
                  <c:v>4.1127673232088604</c:v>
                </c:pt>
                <c:pt idx="280">
                  <c:v>4.127508424725737</c:v>
                </c:pt>
                <c:pt idx="281">
                  <c:v>4.1422495262426153</c:v>
                </c:pt>
                <c:pt idx="282">
                  <c:v>4.1569906277594937</c:v>
                </c:pt>
                <c:pt idx="283">
                  <c:v>4.1717317292763703</c:v>
                </c:pt>
                <c:pt idx="284">
                  <c:v>4.1864728307932477</c:v>
                </c:pt>
                <c:pt idx="285">
                  <c:v>4.2012139323101261</c:v>
                </c:pt>
                <c:pt idx="286">
                  <c:v>4.2159550338270035</c:v>
                </c:pt>
                <c:pt idx="287">
                  <c:v>4.230696135343881</c:v>
                </c:pt>
                <c:pt idx="288">
                  <c:v>4.2454372368607585</c:v>
                </c:pt>
                <c:pt idx="289">
                  <c:v>4.2601783383776368</c:v>
                </c:pt>
                <c:pt idx="290">
                  <c:v>4.2749194398945143</c:v>
                </c:pt>
                <c:pt idx="291">
                  <c:v>4.2896605414113909</c:v>
                </c:pt>
                <c:pt idx="292">
                  <c:v>4.3044016429282692</c:v>
                </c:pt>
                <c:pt idx="293">
                  <c:v>4.3191427444451467</c:v>
                </c:pt>
                <c:pt idx="294">
                  <c:v>4.3338838459620241</c:v>
                </c:pt>
                <c:pt idx="295">
                  <c:v>4.3486249474789025</c:v>
                </c:pt>
                <c:pt idx="296">
                  <c:v>4.3633660489957791</c:v>
                </c:pt>
                <c:pt idx="297">
                  <c:v>4.3781071505126574</c:v>
                </c:pt>
                <c:pt idx="298">
                  <c:v>4.3928482520295349</c:v>
                </c:pt>
                <c:pt idx="299">
                  <c:v>4.4075893535464123</c:v>
                </c:pt>
                <c:pt idx="300">
                  <c:v>4.4223304550632898</c:v>
                </c:pt>
              </c:numCache>
            </c:numRef>
          </c:xVal>
          <c:yVal>
            <c:numRef>
              <c:f>Vertical!$D$373:$D$673</c:f>
              <c:numCache>
                <c:formatCode>General</c:formatCode>
                <c:ptCount val="301"/>
                <c:pt idx="0">
                  <c:v>1.7275748676540117E-3</c:v>
                </c:pt>
                <c:pt idx="1">
                  <c:v>1.7275694920100737E-3</c:v>
                </c:pt>
                <c:pt idx="2">
                  <c:v>1.7275533648990673E-3</c:v>
                </c:pt>
                <c:pt idx="3">
                  <c:v>1.7275264857833847E-3</c:v>
                </c:pt>
                <c:pt idx="4">
                  <c:v>1.7274888537669134E-3</c:v>
                </c:pt>
                <c:pt idx="5">
                  <c:v>1.7274404675948871E-3</c:v>
                </c:pt>
                <c:pt idx="6">
                  <c:v>1.7273813256536757E-3</c:v>
                </c:pt>
                <c:pt idx="7">
                  <c:v>1.7273114259705174E-3</c:v>
                </c:pt>
                <c:pt idx="8">
                  <c:v>1.727230766213187E-3</c:v>
                </c:pt>
                <c:pt idx="9">
                  <c:v>1.727139343689611E-3</c:v>
                </c:pt>
                <c:pt idx="10">
                  <c:v>1.7270371553474129E-3</c:v>
                </c:pt>
                <c:pt idx="11">
                  <c:v>1.7269241977734063E-3</c:v>
                </c:pt>
                <c:pt idx="12">
                  <c:v>1.7268004671930235E-3</c:v>
                </c:pt>
                <c:pt idx="13">
                  <c:v>1.7266659594696826E-3</c:v>
                </c:pt>
                <c:pt idx="14">
                  <c:v>1.7265206701040968E-3</c:v>
                </c:pt>
                <c:pt idx="15">
                  <c:v>1.7263645942335181E-3</c:v>
                </c:pt>
                <c:pt idx="16">
                  <c:v>1.7261977266309215E-3</c:v>
                </c:pt>
                <c:pt idx="17">
                  <c:v>1.7260200617041294E-3</c:v>
                </c:pt>
                <c:pt idx="18">
                  <c:v>1.7258315934948676E-3</c:v>
                </c:pt>
                <c:pt idx="19">
                  <c:v>1.725632315677764E-3</c:v>
                </c:pt>
                <c:pt idx="20">
                  <c:v>1.7254222215592834E-3</c:v>
                </c:pt>
                <c:pt idx="21">
                  <c:v>1.7252013040765953E-3</c:v>
                </c:pt>
                <c:pt idx="22">
                  <c:v>1.7249695557963807E-3</c:v>
                </c:pt>
                <c:pt idx="23">
                  <c:v>1.724726968913575E-3</c:v>
                </c:pt>
                <c:pt idx="24">
                  <c:v>1.7244735352500437E-3</c:v>
                </c:pt>
                <c:pt idx="25">
                  <c:v>1.7242092462531921E-3</c:v>
                </c:pt>
                <c:pt idx="26">
                  <c:v>1.7239340929945126E-3</c:v>
                </c:pt>
                <c:pt idx="27">
                  <c:v>1.7236480661680625E-3</c:v>
                </c:pt>
                <c:pt idx="28">
                  <c:v>1.723351156088874E-3</c:v>
                </c:pt>
                <c:pt idx="29">
                  <c:v>1.7230433526912977E-3</c:v>
                </c:pt>
                <c:pt idx="30">
                  <c:v>1.7227246455272789E-3</c:v>
                </c:pt>
                <c:pt idx="31">
                  <c:v>1.7223950237645609E-3</c:v>
                </c:pt>
                <c:pt idx="32">
                  <c:v>1.7220544761848207E-3</c:v>
                </c:pt>
                <c:pt idx="33">
                  <c:v>1.7217029911817342E-3</c:v>
                </c:pt>
                <c:pt idx="34">
                  <c:v>1.7213405567589699E-3</c:v>
                </c:pt>
                <c:pt idx="35">
                  <c:v>1.7209671605281078E-3</c:v>
                </c:pt>
                <c:pt idx="36">
                  <c:v>1.7205827897064875E-3</c:v>
                </c:pt>
                <c:pt idx="37">
                  <c:v>1.7201874311149829E-3</c:v>
                </c:pt>
                <c:pt idx="38">
                  <c:v>1.7197810711756987E-3</c:v>
                </c:pt>
                <c:pt idx="39">
                  <c:v>1.7193636959095928E-3</c:v>
                </c:pt>
                <c:pt idx="40">
                  <c:v>1.7189352909340236E-3</c:v>
                </c:pt>
                <c:pt idx="41">
                  <c:v>1.7184958414602155E-3</c:v>
                </c:pt>
                <c:pt idx="42">
                  <c:v>1.7180453322906478E-3</c:v>
                </c:pt>
                <c:pt idx="43">
                  <c:v>1.7175837478163624E-3</c:v>
                </c:pt>
                <c:pt idx="44">
                  <c:v>1.7171110720141914E-3</c:v>
                </c:pt>
                <c:pt idx="45">
                  <c:v>1.7166272884439017E-3</c:v>
                </c:pt>
                <c:pt idx="46">
                  <c:v>1.716132380245253E-3</c:v>
                </c:pt>
                <c:pt idx="47">
                  <c:v>1.7156263301349782E-3</c:v>
                </c:pt>
                <c:pt idx="48">
                  <c:v>1.7151091204036688E-3</c:v>
                </c:pt>
                <c:pt idx="49">
                  <c:v>1.7145807329125777E-3</c:v>
                </c:pt>
                <c:pt idx="50">
                  <c:v>1.7140411490903331E-3</c:v>
                </c:pt>
                <c:pt idx="51">
                  <c:v>1.713490349929561E-3</c:v>
                </c:pt>
                <c:pt idx="52">
                  <c:v>1.712928315983414E-3</c:v>
                </c:pt>
                <c:pt idx="53">
                  <c:v>1.7123550273620103E-3</c:v>
                </c:pt>
                <c:pt idx="54">
                  <c:v>1.7117704637287744E-3</c:v>
                </c:pt>
                <c:pt idx="55">
                  <c:v>1.7111746042966834E-3</c:v>
                </c:pt>
                <c:pt idx="56">
                  <c:v>1.7105674278244144E-3</c:v>
                </c:pt>
                <c:pt idx="57">
                  <c:v>1.7099489126123908E-3</c:v>
                </c:pt>
                <c:pt idx="58">
                  <c:v>1.709319036498728E-3</c:v>
                </c:pt>
                <c:pt idx="59">
                  <c:v>1.7086777768550753E-3</c:v>
                </c:pt>
                <c:pt idx="60">
                  <c:v>1.7080251105823516E-3</c:v>
                </c:pt>
                <c:pt idx="61">
                  <c:v>1.7073610141063737E-3</c:v>
                </c:pt>
                <c:pt idx="62">
                  <c:v>1.7066854633733762E-3</c:v>
                </c:pt>
                <c:pt idx="63">
                  <c:v>1.7059984338454177E-3</c:v>
                </c:pt>
                <c:pt idx="64">
                  <c:v>1.7052999004956763E-3</c:v>
                </c:pt>
                <c:pt idx="65">
                  <c:v>1.7045898378036241E-3</c:v>
                </c:pt>
                <c:pt idx="66">
                  <c:v>1.7038682197500897E-3</c:v>
                </c:pt>
                <c:pt idx="67">
                  <c:v>1.7031350198121963E-3</c:v>
                </c:pt>
                <c:pt idx="68">
                  <c:v>1.7023902109581748E-3</c:v>
                </c:pt>
                <c:pt idx="69">
                  <c:v>1.7016337656420571E-3</c:v>
                </c:pt>
                <c:pt idx="70">
                  <c:v>1.7008656557982375E-3</c:v>
                </c:pt>
                <c:pt idx="71">
                  <c:v>1.7000858528359033E-3</c:v>
                </c:pt>
                <c:pt idx="72">
                  <c:v>1.6992943276333322E-3</c:v>
                </c:pt>
                <c:pt idx="73">
                  <c:v>1.6984910505320554E-3</c:v>
                </c:pt>
                <c:pt idx="74">
                  <c:v>1.697675991330879E-3</c:v>
                </c:pt>
                <c:pt idx="75">
                  <c:v>1.6968491192797639E-3</c:v>
                </c:pt>
                <c:pt idx="76">
                  <c:v>1.6960104030735608E-3</c:v>
                </c:pt>
                <c:pt idx="77">
                  <c:v>1.6951598108455967E-3</c:v>
                </c:pt>
                <c:pt idx="78">
                  <c:v>1.6942973101611103E-3</c:v>
                </c:pt>
                <c:pt idx="79">
                  <c:v>1.6934228680105293E-3</c:v>
                </c:pt>
                <c:pt idx="80">
                  <c:v>1.6925364508025929E-3</c:v>
                </c:pt>
                <c:pt idx="81">
                  <c:v>1.6916380243573107E-3</c:v>
                </c:pt>
                <c:pt idx="82">
                  <c:v>1.6907275538987536E-3</c:v>
                </c:pt>
                <c:pt idx="83">
                  <c:v>1.6898050040476788E-3</c:v>
                </c:pt>
                <c:pt idx="84">
                  <c:v>1.6888703388139776E-3</c:v>
                </c:pt>
                <c:pt idx="85">
                  <c:v>1.6879235215889481E-3</c:v>
                </c:pt>
                <c:pt idx="86">
                  <c:v>1.6869645151373828E-3</c:v>
                </c:pt>
                <c:pt idx="87">
                  <c:v>1.6859932815894746E-3</c:v>
                </c:pt>
                <c:pt idx="88">
                  <c:v>1.6850097824325269E-3</c:v>
                </c:pt>
                <c:pt idx="89">
                  <c:v>1.6840139785024731E-3</c:v>
                </c:pt>
                <c:pt idx="90">
                  <c:v>1.683005829975191E-3</c:v>
                </c:pt>
                <c:pt idx="91">
                  <c:v>1.6819852963576186E-3</c:v>
                </c:pt>
                <c:pt idx="92">
                  <c:v>1.6809523364786525E-3</c:v>
                </c:pt>
                <c:pt idx="93">
                  <c:v>1.6799069084798383E-3</c:v>
                </c:pt>
                <c:pt idx="94">
                  <c:v>1.6788489698058343E-3</c:v>
                </c:pt>
                <c:pt idx="95">
                  <c:v>1.6777784771946521E-3</c:v>
                </c:pt>
                <c:pt idx="96">
                  <c:v>1.676695386667667E-3</c:v>
                </c:pt>
                <c:pt idx="97">
                  <c:v>1.6755996535193847E-3</c:v>
                </c:pt>
                <c:pt idx="98">
                  <c:v>1.6744912323069716E-3</c:v>
                </c:pt>
                <c:pt idx="99">
                  <c:v>1.6733700768395271E-3</c:v>
                </c:pt>
                <c:pt idx="100">
                  <c:v>1.6722361401671061E-3</c:v>
                </c:pt>
                <c:pt idx="101">
                  <c:v>1.6710893745694728E-3</c:v>
                </c:pt>
                <c:pt idx="102">
                  <c:v>1.6699297315445867E-3</c:v>
                </c:pt>
                <c:pt idx="103">
                  <c:v>1.6687571617968091E-3</c:v>
                </c:pt>
                <c:pt idx="104">
                  <c:v>1.6675716152248271E-3</c:v>
                </c:pt>
                <c:pt idx="105">
                  <c:v>1.6663730409092821E-3</c:v>
                </c:pt>
                <c:pt idx="106">
                  <c:v>1.6651613871000975E-3</c:v>
                </c:pt>
                <c:pt idx="107">
                  <c:v>1.663936601203501E-3</c:v>
                </c:pt>
                <c:pt idx="108">
                  <c:v>1.6626986297687248E-3</c:v>
                </c:pt>
                <c:pt idx="109">
                  <c:v>1.661447418474382E-3</c:v>
                </c:pt>
                <c:pt idx="110">
                  <c:v>1.660182912114507E-3</c:v>
                </c:pt>
                <c:pt idx="111">
                  <c:v>1.6589050545842516E-3</c:v>
                </c:pt>
                <c:pt idx="112">
                  <c:v>1.657613788865228E-3</c:v>
                </c:pt>
                <c:pt idx="113">
                  <c:v>1.6563090570104809E-3</c:v>
                </c:pt>
                <c:pt idx="114">
                  <c:v>1.6549908001290948E-3</c:v>
                </c:pt>
                <c:pt idx="115">
                  <c:v>1.6536589583704066E-3</c:v>
                </c:pt>
                <c:pt idx="116">
                  <c:v>1.6523134709078261E-3</c:v>
                </c:pt>
                <c:pt idx="117">
                  <c:v>1.6509542759222463E-3</c:v>
                </c:pt>
                <c:pt idx="118">
                  <c:v>1.6495813105850343E-3</c:v>
                </c:pt>
                <c:pt idx="119">
                  <c:v>1.6481945110405876E-3</c:v>
                </c:pt>
                <c:pt idx="120">
                  <c:v>1.6467938123884472E-3</c:v>
                </c:pt>
                <c:pt idx="121">
                  <c:v>1.6453791486649501E-3</c:v>
                </c:pt>
                <c:pt idx="122">
                  <c:v>1.6439504528244079E-3</c:v>
                </c:pt>
                <c:pt idx="123">
                  <c:v>1.6425076567198019E-3</c:v>
                </c:pt>
                <c:pt idx="124">
                  <c:v>1.6410506910829745E-3</c:v>
                </c:pt>
                <c:pt idx="125">
                  <c:v>1.6395794855042997E-3</c:v>
                </c:pt>
                <c:pt idx="126">
                  <c:v>1.6380939684118273E-3</c:v>
                </c:pt>
                <c:pt idx="127">
                  <c:v>1.6365940670498721E-3</c:v>
                </c:pt>
                <c:pt idx="128">
                  <c:v>1.6350797074570381E-3</c:v>
                </c:pt>
                <c:pt idx="129">
                  <c:v>1.6335508144436578E-3</c:v>
                </c:pt>
                <c:pt idx="130">
                  <c:v>1.6320073115686285E-3</c:v>
                </c:pt>
                <c:pt idx="131">
                  <c:v>1.6304491211156247E-3</c:v>
                </c:pt>
                <c:pt idx="132">
                  <c:v>1.6288761640686712E-3</c:v>
                </c:pt>
                <c:pt idx="133">
                  <c:v>1.6272883600870502E-3</c:v>
                </c:pt>
                <c:pt idx="134">
                  <c:v>1.6256856274795249E-3</c:v>
                </c:pt>
                <c:pt idx="135">
                  <c:v>1.6240678831778569E-3</c:v>
                </c:pt>
                <c:pt idx="136">
                  <c:v>1.6224350427095917E-3</c:v>
                </c:pt>
                <c:pt idx="137">
                  <c:v>1.6207870201700922E-3</c:v>
                </c:pt>
                <c:pt idx="138">
                  <c:v>1.6191237281937905E-3</c:v>
                </c:pt>
                <c:pt idx="139">
                  <c:v>1.6174450779246361E-3</c:v>
                </c:pt>
                <c:pt idx="140">
                  <c:v>1.6157509789857102E-3</c:v>
                </c:pt>
                <c:pt idx="141">
                  <c:v>1.6140413394479785E-3</c:v>
                </c:pt>
                <c:pt idx="142">
                  <c:v>1.6123160657981559E-3</c:v>
                </c:pt>
                <c:pt idx="143">
                  <c:v>1.6105750629056472E-3</c:v>
                </c:pt>
                <c:pt idx="144">
                  <c:v>1.6088182339885372E-3</c:v>
                </c:pt>
                <c:pt idx="145">
                  <c:v>1.6070454805785933E-3</c:v>
                </c:pt>
                <c:pt idx="146">
                  <c:v>1.6052567024852468E-3</c:v>
                </c:pt>
                <c:pt idx="147">
                  <c:v>1.6034517977585201E-3</c:v>
                </c:pt>
                <c:pt idx="148">
                  <c:v>1.6016306626508545E-3</c:v>
                </c:pt>
                <c:pt idx="149">
                  <c:v>1.5997931915778096E-3</c:v>
                </c:pt>
                <c:pt idx="150">
                  <c:v>1.5979392770775838E-3</c:v>
                </c:pt>
                <c:pt idx="151">
                  <c:v>1.5960688097693199E-3</c:v>
                </c:pt>
                <c:pt idx="152">
                  <c:v>1.5941816783101477E-3</c:v>
                </c:pt>
                <c:pt idx="153">
                  <c:v>1.5922777693509185E-3</c:v>
                </c:pt>
                <c:pt idx="154">
                  <c:v>1.5903569674905831E-3</c:v>
                </c:pt>
                <c:pt idx="155">
                  <c:v>1.5884191552291618E-3</c:v>
                </c:pt>
                <c:pt idx="156">
                  <c:v>1.5864642129192529E-3</c:v>
                </c:pt>
                <c:pt idx="157">
                  <c:v>1.5844920187160271E-3</c:v>
                </c:pt>
                <c:pt idx="158">
                  <c:v>1.582502448525648E-3</c:v>
                </c:pt>
                <c:pt idx="159">
                  <c:v>1.5804953759520552E-3</c:v>
                </c:pt>
                <c:pt idx="160">
                  <c:v>1.578470672242055E-3</c:v>
                </c:pt>
                <c:pt idx="161">
                  <c:v>1.576428206228642E-3</c:v>
                </c:pt>
                <c:pt idx="162">
                  <c:v>1.5743678442724912E-3</c:v>
                </c:pt>
                <c:pt idx="163">
                  <c:v>1.5722894502015446E-3</c:v>
                </c:pt>
                <c:pt idx="164">
                  <c:v>1.5701928852486127E-3</c:v>
                </c:pt>
                <c:pt idx="165">
                  <c:v>1.5680780079869166E-3</c:v>
                </c:pt>
                <c:pt idx="166">
                  <c:v>1.5659446742634893E-3</c:v>
                </c:pt>
                <c:pt idx="167">
                  <c:v>1.5637927371303369E-3</c:v>
                </c:pt>
                <c:pt idx="168">
                  <c:v>1.5616220467732816E-3</c:v>
                </c:pt>
                <c:pt idx="169">
                  <c:v>1.5594324504383836E-3</c:v>
                </c:pt>
                <c:pt idx="170">
                  <c:v>1.5572237923558404E-3</c:v>
                </c:pt>
                <c:pt idx="171">
                  <c:v>1.5549959136612586E-3</c:v>
                </c:pt>
                <c:pt idx="172">
                  <c:v>1.5527486523141882E-3</c:v>
                </c:pt>
                <c:pt idx="173">
                  <c:v>1.5504818430138005E-3</c:v>
                </c:pt>
                <c:pt idx="174">
                  <c:v>1.5481953171115872E-3</c:v>
                </c:pt>
                <c:pt idx="175">
                  <c:v>1.5458889025209506E-3</c:v>
                </c:pt>
                <c:pt idx="176">
                  <c:v>1.5435624236235497E-3</c:v>
                </c:pt>
                <c:pt idx="177">
                  <c:v>1.5412157011722607E-3</c:v>
                </c:pt>
                <c:pt idx="178">
                  <c:v>1.5388485521905949E-3</c:v>
                </c:pt>
                <c:pt idx="179">
                  <c:v>1.5364607898684245E-3</c:v>
                </c:pt>
                <c:pt idx="180">
                  <c:v>1.5340522234538411E-3</c:v>
                </c:pt>
                <c:pt idx="181">
                  <c:v>1.5316226581409732E-3</c:v>
                </c:pt>
                <c:pt idx="182">
                  <c:v>1.529171894953578E-3</c:v>
                </c:pt>
                <c:pt idx="183">
                  <c:v>1.5266997306242107E-3</c:v>
                </c:pt>
                <c:pt idx="184">
                  <c:v>1.5242059574687643E-3</c:v>
                </c:pt>
                <c:pt idx="185">
                  <c:v>1.5216903632561576E-3</c:v>
                </c:pt>
                <c:pt idx="186">
                  <c:v>1.5191527310729478E-3</c:v>
                </c:pt>
                <c:pt idx="187">
                  <c:v>1.5165928391826181E-3</c:v>
                </c:pt>
                <c:pt idx="188">
                  <c:v>1.5140104608792799E-3</c:v>
                </c:pt>
                <c:pt idx="189">
                  <c:v>1.5114053643355278E-3</c:v>
                </c:pt>
                <c:pt idx="190">
                  <c:v>1.5087773124441413E-3</c:v>
                </c:pt>
                <c:pt idx="191">
                  <c:v>1.5061260626533434E-3</c:v>
                </c:pt>
                <c:pt idx="192">
                  <c:v>1.5034513667952823E-3</c:v>
                </c:pt>
                <c:pt idx="193">
                  <c:v>1.5007529709073931E-3</c:v>
                </c:pt>
                <c:pt idx="194">
                  <c:v>1.4980306150462776E-3</c:v>
                </c:pt>
                <c:pt idx="195">
                  <c:v>1.4952840330937156E-3</c:v>
                </c:pt>
                <c:pt idx="196">
                  <c:v>1.4925129525543909E-3</c:v>
                </c:pt>
                <c:pt idx="197">
                  <c:v>1.4897170943449028E-3</c:v>
                </c:pt>
                <c:pt idx="198">
                  <c:v>1.4868961725735931E-3</c:v>
                </c:pt>
                <c:pt idx="199">
                  <c:v>1.4840498943106994E-3</c:v>
                </c:pt>
                <c:pt idx="200">
                  <c:v>1.4811779593483037E-3</c:v>
                </c:pt>
                <c:pt idx="201">
                  <c:v>1.4782800599495232E-3</c:v>
                </c:pt>
                <c:pt idx="202">
                  <c:v>1.4753558805863406E-3</c:v>
                </c:pt>
                <c:pt idx="203">
                  <c:v>1.4724050976654434E-3</c:v>
                </c:pt>
                <c:pt idx="204">
                  <c:v>1.46942737924139E-3</c:v>
                </c:pt>
                <c:pt idx="205">
                  <c:v>1.4664223847163783E-3</c:v>
                </c:pt>
                <c:pt idx="206">
                  <c:v>1.4633897645258487E-3</c:v>
                </c:pt>
                <c:pt idx="207">
                  <c:v>1.4603291598090824E-3</c:v>
                </c:pt>
                <c:pt idx="208">
                  <c:v>1.4572402020639236E-3</c:v>
                </c:pt>
                <c:pt idx="209">
                  <c:v>1.4541225127846665E-3</c:v>
                </c:pt>
                <c:pt idx="210">
                  <c:v>1.4509757030820997E-3</c:v>
                </c:pt>
                <c:pt idx="211">
                  <c:v>1.4477993732846123E-3</c:v>
                </c:pt>
                <c:pt idx="212">
                  <c:v>1.4445931125192E-3</c:v>
                </c:pt>
                <c:pt idx="213">
                  <c:v>1.4413564982711136E-3</c:v>
                </c:pt>
                <c:pt idx="214">
                  <c:v>1.4380890959208002E-3</c:v>
                </c:pt>
                <c:pt idx="215">
                  <c:v>1.4347904582566885E-3</c:v>
                </c:pt>
                <c:pt idx="216">
                  <c:v>1.4314601249622604E-3</c:v>
                </c:pt>
                <c:pt idx="217">
                  <c:v>1.4280976220757205E-3</c:v>
                </c:pt>
                <c:pt idx="218">
                  <c:v>1.4247024614204551E-3</c:v>
                </c:pt>
                <c:pt idx="219">
                  <c:v>1.4212741400043221E-3</c:v>
                </c:pt>
                <c:pt idx="220">
                  <c:v>1.4178121393856546E-3</c:v>
                </c:pt>
                <c:pt idx="221">
                  <c:v>1.4143159250036977E-3</c:v>
                </c:pt>
                <c:pt idx="222">
                  <c:v>1.4107849454709979E-3</c:v>
                </c:pt>
                <c:pt idx="223">
                  <c:v>1.4072186318250654E-3</c:v>
                </c:pt>
                <c:pt idx="224">
                  <c:v>1.4036163967364075E-3</c:v>
                </c:pt>
                <c:pt idx="225">
                  <c:v>1.3999776336697685E-3</c:v>
                </c:pt>
                <c:pt idx="226">
                  <c:v>1.3963017159951522E-3</c:v>
                </c:pt>
                <c:pt idx="227">
                  <c:v>1.3925879960448933E-3</c:v>
                </c:pt>
                <c:pt idx="228">
                  <c:v>1.3888358041127136E-3</c:v>
                </c:pt>
                <c:pt idx="229">
                  <c:v>1.3850444473903322E-3</c:v>
                </c:pt>
                <c:pt idx="230">
                  <c:v>1.3812132088367923E-3</c:v>
                </c:pt>
                <c:pt idx="231">
                  <c:v>1.3773413459752157E-3</c:v>
                </c:pt>
                <c:pt idx="232">
                  <c:v>1.373428089611202E-3</c:v>
                </c:pt>
                <c:pt idx="233">
                  <c:v>1.3694726424665292E-3</c:v>
                </c:pt>
                <c:pt idx="234">
                  <c:v>1.3654741777212043E-3</c:v>
                </c:pt>
                <c:pt idx="235">
                  <c:v>1.3614318374562176E-3</c:v>
                </c:pt>
                <c:pt idx="236">
                  <c:v>1.3573447309885931E-3</c:v>
                </c:pt>
                <c:pt idx="237">
                  <c:v>1.35321193308948E-3</c:v>
                </c:pt>
                <c:pt idx="238">
                  <c:v>1.3490324820750548E-3</c:v>
                </c:pt>
                <c:pt idx="239">
                  <c:v>1.3448053777589436E-3</c:v>
                </c:pt>
                <c:pt idx="240">
                  <c:v>1.3405295792536707E-3</c:v>
                </c:pt>
                <c:pt idx="241">
                  <c:v>1.3362040026072678E-3</c:v>
                </c:pt>
                <c:pt idx="242">
                  <c:v>1.3318275182596601E-3</c:v>
                </c:pt>
                <c:pt idx="243">
                  <c:v>1.3273989483017169E-3</c:v>
                </c:pt>
                <c:pt idx="244">
                  <c:v>1.3229170635178894E-3</c:v>
                </c:pt>
                <c:pt idx="245">
                  <c:v>1.3183805801911435E-3</c:v>
                </c:pt>
                <c:pt idx="246">
                  <c:v>1.3137881566463786E-3</c:v>
                </c:pt>
                <c:pt idx="247">
                  <c:v>1.309138389505632E-3</c:v>
                </c:pt>
                <c:pt idx="248">
                  <c:v>1.3044298096251048E-3</c:v>
                </c:pt>
                <c:pt idx="249">
                  <c:v>1.2996608776802666E-3</c:v>
                </c:pt>
                <c:pt idx="250">
                  <c:v>1.2948299793610035E-3</c:v>
                </c:pt>
                <c:pt idx="251">
                  <c:v>1.2899354201337907E-3</c:v>
                </c:pt>
                <c:pt idx="252">
                  <c:v>1.2849754195221592E-3</c:v>
                </c:pt>
                <c:pt idx="253">
                  <c:v>1.2799481048500975E-3</c:v>
                </c:pt>
                <c:pt idx="254">
                  <c:v>1.2748515043853373E-3</c:v>
                </c:pt>
                <c:pt idx="255">
                  <c:v>1.2696835398105374E-3</c:v>
                </c:pt>
                <c:pt idx="256">
                  <c:v>1.264442017939924E-3</c:v>
                </c:pt>
                <c:pt idx="257">
                  <c:v>1.2591246215867323E-3</c:v>
                </c:pt>
                <c:pt idx="258">
                  <c:v>1.2537288994723898E-3</c:v>
                </c:pt>
                <c:pt idx="259">
                  <c:v>1.2482522550514542E-3</c:v>
                </c:pt>
                <c:pt idx="260">
                  <c:v>1.2426919341062216E-3</c:v>
                </c:pt>
                <c:pt idx="261">
                  <c:v>1.2370450109410655E-3</c:v>
                </c:pt>
                <c:pt idx="262">
                  <c:v>1.2313083729780915E-3</c:v>
                </c:pt>
                <c:pt idx="263">
                  <c:v>1.2254787035215473E-3</c:v>
                </c:pt>
                <c:pt idx="264">
                  <c:v>1.219552462417349E-3</c:v>
                </c:pt>
                <c:pt idx="265">
                  <c:v>1.2135258642843485E-3</c:v>
                </c:pt>
                <c:pt idx="266">
                  <c:v>1.2073948539335364E-3</c:v>
                </c:pt>
                <c:pt idx="267">
                  <c:v>1.2011550785174928E-3</c:v>
                </c:pt>
                <c:pt idx="268">
                  <c:v>1.1948018558616273E-3</c:v>
                </c:pt>
                <c:pt idx="269">
                  <c:v>1.1883301383164844E-3</c:v>
                </c:pt>
                <c:pt idx="270">
                  <c:v>1.1817344713308195E-3</c:v>
                </c:pt>
                <c:pt idx="271">
                  <c:v>1.1750089457703136E-3</c:v>
                </c:pt>
                <c:pt idx="272">
                  <c:v>1.1681471427863865E-3</c:v>
                </c:pt>
                <c:pt idx="273">
                  <c:v>1.1611420697595532E-3</c:v>
                </c:pt>
                <c:pt idx="274">
                  <c:v>1.1539860854832065E-3</c:v>
                </c:pt>
                <c:pt idx="275">
                  <c:v>1.1466708122906634E-3</c:v>
                </c:pt>
                <c:pt idx="276">
                  <c:v>1.1391870322248361E-3</c:v>
                </c:pt>
                <c:pt idx="277">
                  <c:v>1.1315245635557102E-3</c:v>
                </c:pt>
                <c:pt idx="278">
                  <c:v>1.1236721128944937E-3</c:v>
                </c:pt>
                <c:pt idx="279">
                  <c:v>1.1156170967323864E-3</c:v>
                </c:pt>
                <c:pt idx="280">
                  <c:v>1.1073454242966163E-3</c:v>
                </c:pt>
                <c:pt idx="281">
                  <c:v>1.0988412309450313E-3</c:v>
                </c:pt>
                <c:pt idx="282">
                  <c:v>1.0900865475786076E-3</c:v>
                </c:pt>
                <c:pt idx="283">
                  <c:v>1.0810608862247507E-3</c:v>
                </c:pt>
                <c:pt idx="284">
                  <c:v>1.0717407142267921E-3</c:v>
                </c:pt>
                <c:pt idx="285">
                  <c:v>1.0620987780718667E-3</c:v>
                </c:pt>
                <c:pt idx="286">
                  <c:v>1.052103220668189E-3</c:v>
                </c:pt>
                <c:pt idx="287">
                  <c:v>1.0417164092309105E-3</c:v>
                </c:pt>
                <c:pt idx="288">
                  <c:v>1.0308933485333981E-3</c:v>
                </c:pt>
                <c:pt idx="289">
                  <c:v>1.0195794846639796E-3</c:v>
                </c:pt>
                <c:pt idx="290">
                  <c:v>1.0077075859222311E-3</c:v>
                </c:pt>
                <c:pt idx="291">
                  <c:v>9.9519317710014001E-4</c:v>
                </c:pt>
                <c:pt idx="292">
                  <c:v>9.819276109128965E-4</c:v>
                </c:pt>
                <c:pt idx="293">
                  <c:v>9.6776708340661193E-4</c:v>
                </c:pt>
                <c:pt idx="294">
                  <c:v>9.5251424642798371E-4</c:v>
                </c:pt>
                <c:pt idx="295">
                  <c:v>9.3588521442338726E-4</c:v>
                </c:pt>
                <c:pt idx="296">
                  <c:v>9.174446412753745E-4</c:v>
                </c:pt>
                <c:pt idx="297">
                  <c:v>8.9646028904409125E-4</c:v>
                </c:pt>
                <c:pt idx="298">
                  <c:v>8.7150562468499293E-4</c:v>
                </c:pt>
                <c:pt idx="299">
                  <c:v>8.3890107011809956E-4</c:v>
                </c:pt>
                <c:pt idx="300">
                  <c:v>7.5996166107171969E-4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974976"/>
        <c:axId val="126980864"/>
      </c:scatterChart>
      <c:valAx>
        <c:axId val="12697497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980864"/>
        <c:crosses val="autoZero"/>
        <c:crossBetween val="midCat"/>
      </c:valAx>
      <c:valAx>
        <c:axId val="126980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97497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Horizontal!$AG$1</c:f>
              <c:strCache>
                <c:ptCount val="1"/>
                <c:pt idx="0">
                  <c:v>NACA 0006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Horizontal!$AJ$3:$AJ$20</c:f>
              <c:numCache>
                <c:formatCode>General</c:formatCode>
                <c:ptCount val="18"/>
                <c:pt idx="0">
                  <c:v>14.352642315361319</c:v>
                </c:pt>
                <c:pt idx="1">
                  <c:v>13.635010199593253</c:v>
                </c:pt>
                <c:pt idx="2">
                  <c:v>12.917378083825188</c:v>
                </c:pt>
                <c:pt idx="3">
                  <c:v>11.482113852289055</c:v>
                </c:pt>
                <c:pt idx="4">
                  <c:v>10.046849620752923</c:v>
                </c:pt>
                <c:pt idx="5">
                  <c:v>8.611585389216792</c:v>
                </c:pt>
                <c:pt idx="6">
                  <c:v>7.1763211576806594</c:v>
                </c:pt>
                <c:pt idx="7">
                  <c:v>5.7410569261445277</c:v>
                </c:pt>
                <c:pt idx="8">
                  <c:v>4.305792694608396</c:v>
                </c:pt>
                <c:pt idx="9">
                  <c:v>3.5881605788403297</c:v>
                </c:pt>
                <c:pt idx="10">
                  <c:v>2.8705284630722638</c:v>
                </c:pt>
                <c:pt idx="11">
                  <c:v>2.152896347304198</c:v>
                </c:pt>
                <c:pt idx="12">
                  <c:v>1.4352642315361319</c:v>
                </c:pt>
                <c:pt idx="13">
                  <c:v>1.076448173652099</c:v>
                </c:pt>
                <c:pt idx="14">
                  <c:v>0.71763211576806596</c:v>
                </c:pt>
                <c:pt idx="15">
                  <c:v>0.35881605788403298</c:v>
                </c:pt>
                <c:pt idx="16">
                  <c:v>0.17940802894201649</c:v>
                </c:pt>
                <c:pt idx="17">
                  <c:v>0</c:v>
                </c:pt>
              </c:numCache>
            </c:numRef>
          </c:xVal>
          <c:yVal>
            <c:numRef>
              <c:f>Horizontal!$AK$3:$AK$20</c:f>
              <c:numCache>
                <c:formatCode>General</c:formatCode>
                <c:ptCount val="18"/>
                <c:pt idx="0">
                  <c:v>0</c:v>
                </c:pt>
                <c:pt idx="1">
                  <c:v>5.7841148530906113E-2</c:v>
                </c:pt>
                <c:pt idx="2">
                  <c:v>0.10391313036321595</c:v>
                </c:pt>
                <c:pt idx="3">
                  <c:v>0.18830666717754052</c:v>
                </c:pt>
                <c:pt idx="4">
                  <c:v>0.26294040721741935</c:v>
                </c:pt>
                <c:pt idx="5">
                  <c:v>0.32752729763654531</c:v>
                </c:pt>
                <c:pt idx="6">
                  <c:v>0.37991444208761416</c:v>
                </c:pt>
                <c:pt idx="7">
                  <c:v>0.41651367999178551</c:v>
                </c:pt>
                <c:pt idx="8">
                  <c:v>0.43072279588399315</c:v>
                </c:pt>
                <c:pt idx="9">
                  <c:v>0.4264170031893848</c:v>
                </c:pt>
                <c:pt idx="10">
                  <c:v>0.41177730802771628</c:v>
                </c:pt>
                <c:pt idx="11">
                  <c:v>0.38364612908960805</c:v>
                </c:pt>
                <c:pt idx="12">
                  <c:v>0.33599535660260849</c:v>
                </c:pt>
                <c:pt idx="13">
                  <c:v>0.3014054886225877</c:v>
                </c:pt>
                <c:pt idx="14">
                  <c:v>0.25504645394397069</c:v>
                </c:pt>
                <c:pt idx="15">
                  <c:v>0.18758903506177244</c:v>
                </c:pt>
                <c:pt idx="16">
                  <c:v>0.13591952272647168</c:v>
                </c:pt>
                <c:pt idx="17">
                  <c:v>0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Horizontal!$AG$1</c:f>
              <c:strCache>
                <c:ptCount val="1"/>
                <c:pt idx="0">
                  <c:v>NACA 0006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Horizontal!$AJ$22:$AJ$39</c:f>
              <c:numCache>
                <c:formatCode>General</c:formatCode>
                <c:ptCount val="18"/>
                <c:pt idx="0">
                  <c:v>0.17940802894201649</c:v>
                </c:pt>
                <c:pt idx="1">
                  <c:v>0.35881605788403298</c:v>
                </c:pt>
                <c:pt idx="2">
                  <c:v>0.71763211576806596</c:v>
                </c:pt>
                <c:pt idx="3">
                  <c:v>1.076448173652099</c:v>
                </c:pt>
                <c:pt idx="4">
                  <c:v>1.4352642315361319</c:v>
                </c:pt>
                <c:pt idx="5">
                  <c:v>2.152896347304198</c:v>
                </c:pt>
                <c:pt idx="6">
                  <c:v>2.8705284630722638</c:v>
                </c:pt>
                <c:pt idx="7">
                  <c:v>3.5881605788403297</c:v>
                </c:pt>
                <c:pt idx="8">
                  <c:v>4.305792694608396</c:v>
                </c:pt>
                <c:pt idx="9">
                  <c:v>5.7410569261445277</c:v>
                </c:pt>
                <c:pt idx="10">
                  <c:v>7.1763211576806594</c:v>
                </c:pt>
                <c:pt idx="11">
                  <c:v>8.611585389216792</c:v>
                </c:pt>
                <c:pt idx="12">
                  <c:v>10.046849620752923</c:v>
                </c:pt>
                <c:pt idx="13">
                  <c:v>11.482113852289055</c:v>
                </c:pt>
                <c:pt idx="14">
                  <c:v>12.917378083825188</c:v>
                </c:pt>
                <c:pt idx="15">
                  <c:v>13.635010199593253</c:v>
                </c:pt>
                <c:pt idx="16">
                  <c:v>14.352642315361319</c:v>
                </c:pt>
              </c:numCache>
            </c:numRef>
          </c:xVal>
          <c:yVal>
            <c:numRef>
              <c:f>Horizontal!$AK$22:$AK$39</c:f>
              <c:numCache>
                <c:formatCode>General</c:formatCode>
                <c:ptCount val="18"/>
                <c:pt idx="0">
                  <c:v>-0.13591952272647168</c:v>
                </c:pt>
                <c:pt idx="1">
                  <c:v>-0.18758903506177244</c:v>
                </c:pt>
                <c:pt idx="2">
                  <c:v>-0.25504645394397069</c:v>
                </c:pt>
                <c:pt idx="3">
                  <c:v>-0.3014054886225877</c:v>
                </c:pt>
                <c:pt idx="4">
                  <c:v>-0.33599535660260849</c:v>
                </c:pt>
                <c:pt idx="5">
                  <c:v>-0.38364612908960805</c:v>
                </c:pt>
                <c:pt idx="6">
                  <c:v>-0.41177730802771628</c:v>
                </c:pt>
                <c:pt idx="7">
                  <c:v>-0.4264170031893848</c:v>
                </c:pt>
                <c:pt idx="8">
                  <c:v>-0.43072279588399315</c:v>
                </c:pt>
                <c:pt idx="9">
                  <c:v>-0.41651367999178551</c:v>
                </c:pt>
                <c:pt idx="10">
                  <c:v>-0.37991444208761416</c:v>
                </c:pt>
                <c:pt idx="11">
                  <c:v>-0.32752729763654531</c:v>
                </c:pt>
                <c:pt idx="12">
                  <c:v>-0.26294040721741935</c:v>
                </c:pt>
                <c:pt idx="13">
                  <c:v>-0.18830666717754052</c:v>
                </c:pt>
                <c:pt idx="14">
                  <c:v>-0.10391313036321595</c:v>
                </c:pt>
                <c:pt idx="15">
                  <c:v>-5.7841148530906113E-2</c:v>
                </c:pt>
                <c:pt idx="16">
                  <c:v>0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6947712"/>
        <c:axId val="127458688"/>
      </c:scatterChart>
      <c:valAx>
        <c:axId val="1269477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458688"/>
        <c:crosses val="autoZero"/>
        <c:crossBetween val="midCat"/>
      </c:valAx>
      <c:valAx>
        <c:axId val="1274586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69477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Horizontal!$A$372</c:f>
              <c:strCache>
                <c:ptCount val="1"/>
                <c:pt idx="0">
                  <c:v>Position From Root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4"/>
            <c:dispRSqr val="1"/>
            <c:dispEq val="1"/>
            <c:trendlineLbl>
              <c:layout>
                <c:manualLayout>
                  <c:x val="-0.18744504895623476"/>
                  <c:y val="-6.8116633196215678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Horizontal!$C$373:$C$673</c:f>
              <c:numCache>
                <c:formatCode>General</c:formatCode>
                <c:ptCount val="301"/>
                <c:pt idx="0">
                  <c:v>0</c:v>
                </c:pt>
                <c:pt idx="1">
                  <c:v>4.3949473406618214E-2</c:v>
                </c:pt>
                <c:pt idx="2">
                  <c:v>8.7898946813236428E-2</c:v>
                </c:pt>
                <c:pt idx="3">
                  <c:v>0.13184842021985463</c:v>
                </c:pt>
                <c:pt idx="4">
                  <c:v>0.17579789362647286</c:v>
                </c:pt>
                <c:pt idx="5">
                  <c:v>0.21974736703309106</c:v>
                </c:pt>
                <c:pt idx="6">
                  <c:v>0.26369684043970926</c:v>
                </c:pt>
                <c:pt idx="7">
                  <c:v>0.30764631384632751</c:v>
                </c:pt>
                <c:pt idx="8">
                  <c:v>0.35159578725294571</c:v>
                </c:pt>
                <c:pt idx="9">
                  <c:v>0.39554526065956386</c:v>
                </c:pt>
                <c:pt idx="10">
                  <c:v>0.43949473406618211</c:v>
                </c:pt>
                <c:pt idx="11">
                  <c:v>0.48344420747280031</c:v>
                </c:pt>
                <c:pt idx="12">
                  <c:v>0.52739368087941851</c:v>
                </c:pt>
                <c:pt idx="13">
                  <c:v>0.57134315428603677</c:v>
                </c:pt>
                <c:pt idx="14">
                  <c:v>0.61529262769265503</c:v>
                </c:pt>
                <c:pt idx="15">
                  <c:v>0.65924210109927328</c:v>
                </c:pt>
                <c:pt idx="16">
                  <c:v>0.70319157450589143</c:v>
                </c:pt>
                <c:pt idx="17">
                  <c:v>0.74714104791250968</c:v>
                </c:pt>
                <c:pt idx="18">
                  <c:v>0.79109052131912772</c:v>
                </c:pt>
                <c:pt idx="19">
                  <c:v>0.83503999472574619</c:v>
                </c:pt>
                <c:pt idx="20">
                  <c:v>0.87898946813236423</c:v>
                </c:pt>
                <c:pt idx="21">
                  <c:v>0.92293894153898259</c:v>
                </c:pt>
                <c:pt idx="22">
                  <c:v>0.96688841494560063</c:v>
                </c:pt>
                <c:pt idx="23">
                  <c:v>1.0108378883522189</c:v>
                </c:pt>
                <c:pt idx="24">
                  <c:v>1.054787361758837</c:v>
                </c:pt>
                <c:pt idx="25">
                  <c:v>1.0987368351654554</c:v>
                </c:pt>
                <c:pt idx="26">
                  <c:v>1.1426863085720735</c:v>
                </c:pt>
                <c:pt idx="27">
                  <c:v>1.1866357819786917</c:v>
                </c:pt>
                <c:pt idx="28">
                  <c:v>1.2305852553853101</c:v>
                </c:pt>
                <c:pt idx="29">
                  <c:v>1.2745347287919282</c:v>
                </c:pt>
                <c:pt idx="30">
                  <c:v>1.3184842021985466</c:v>
                </c:pt>
                <c:pt idx="31">
                  <c:v>1.3624336756051647</c:v>
                </c:pt>
                <c:pt idx="32">
                  <c:v>1.4063831490117829</c:v>
                </c:pt>
                <c:pt idx="33">
                  <c:v>1.450332622418401</c:v>
                </c:pt>
                <c:pt idx="34">
                  <c:v>1.4942820958250194</c:v>
                </c:pt>
                <c:pt idx="35">
                  <c:v>1.5382315692316373</c:v>
                </c:pt>
                <c:pt idx="36">
                  <c:v>1.5821810426382554</c:v>
                </c:pt>
                <c:pt idx="37">
                  <c:v>1.626130516044874</c:v>
                </c:pt>
                <c:pt idx="38">
                  <c:v>1.6700799894514924</c:v>
                </c:pt>
                <c:pt idx="39">
                  <c:v>1.7140294628581105</c:v>
                </c:pt>
                <c:pt idx="40">
                  <c:v>1.7579789362647285</c:v>
                </c:pt>
                <c:pt idx="41">
                  <c:v>1.8019284096713466</c:v>
                </c:pt>
                <c:pt idx="42">
                  <c:v>1.8458778830779652</c:v>
                </c:pt>
                <c:pt idx="43">
                  <c:v>1.8898273564845831</c:v>
                </c:pt>
                <c:pt idx="44">
                  <c:v>1.9337768298912013</c:v>
                </c:pt>
                <c:pt idx="45">
                  <c:v>1.9777263032978194</c:v>
                </c:pt>
                <c:pt idx="46">
                  <c:v>2.0216757767044378</c:v>
                </c:pt>
                <c:pt idx="47">
                  <c:v>2.0656252501110561</c:v>
                </c:pt>
                <c:pt idx="48">
                  <c:v>2.1095747235176741</c:v>
                </c:pt>
                <c:pt idx="49">
                  <c:v>2.1535241969242924</c:v>
                </c:pt>
                <c:pt idx="50">
                  <c:v>2.1974736703309108</c:v>
                </c:pt>
                <c:pt idx="51">
                  <c:v>2.2414231437375292</c:v>
                </c:pt>
                <c:pt idx="52">
                  <c:v>2.2853726171441471</c:v>
                </c:pt>
                <c:pt idx="53">
                  <c:v>2.3293220905507654</c:v>
                </c:pt>
                <c:pt idx="54">
                  <c:v>2.3732715639573834</c:v>
                </c:pt>
                <c:pt idx="55">
                  <c:v>2.4172210373640017</c:v>
                </c:pt>
                <c:pt idx="56">
                  <c:v>2.4611705107706201</c:v>
                </c:pt>
                <c:pt idx="57">
                  <c:v>2.5051199841772385</c:v>
                </c:pt>
                <c:pt idx="58">
                  <c:v>2.5490694575838564</c:v>
                </c:pt>
                <c:pt idx="59">
                  <c:v>2.5930189309904748</c:v>
                </c:pt>
                <c:pt idx="60">
                  <c:v>2.6369684043970931</c:v>
                </c:pt>
                <c:pt idx="61">
                  <c:v>2.680917877803711</c:v>
                </c:pt>
                <c:pt idx="62">
                  <c:v>2.7248673512103294</c:v>
                </c:pt>
                <c:pt idx="63">
                  <c:v>2.7688168246169473</c:v>
                </c:pt>
                <c:pt idx="64">
                  <c:v>2.8127662980235657</c:v>
                </c:pt>
                <c:pt idx="65">
                  <c:v>2.8567157714301841</c:v>
                </c:pt>
                <c:pt idx="66">
                  <c:v>2.900665244836802</c:v>
                </c:pt>
                <c:pt idx="67">
                  <c:v>2.9446147182434199</c:v>
                </c:pt>
                <c:pt idx="68">
                  <c:v>2.9885641916500387</c:v>
                </c:pt>
                <c:pt idx="69">
                  <c:v>3.0325136650566566</c:v>
                </c:pt>
                <c:pt idx="70">
                  <c:v>3.0764631384632746</c:v>
                </c:pt>
                <c:pt idx="71">
                  <c:v>3.1204126118698929</c:v>
                </c:pt>
                <c:pt idx="72">
                  <c:v>3.1643620852765109</c:v>
                </c:pt>
                <c:pt idx="73">
                  <c:v>3.2083115586831292</c:v>
                </c:pt>
                <c:pt idx="74">
                  <c:v>3.252261032089748</c:v>
                </c:pt>
                <c:pt idx="75">
                  <c:v>3.2962105054963664</c:v>
                </c:pt>
                <c:pt idx="76">
                  <c:v>3.3401599789029848</c:v>
                </c:pt>
                <c:pt idx="77">
                  <c:v>3.3841094523096027</c:v>
                </c:pt>
                <c:pt idx="78">
                  <c:v>3.4280589257162211</c:v>
                </c:pt>
                <c:pt idx="79">
                  <c:v>3.472008399122839</c:v>
                </c:pt>
                <c:pt idx="80">
                  <c:v>3.5159578725294569</c:v>
                </c:pt>
                <c:pt idx="81">
                  <c:v>3.5599073459360753</c:v>
                </c:pt>
                <c:pt idx="82">
                  <c:v>3.6038568193426932</c:v>
                </c:pt>
                <c:pt idx="83">
                  <c:v>3.6478062927493116</c:v>
                </c:pt>
                <c:pt idx="84">
                  <c:v>3.6917557661559304</c:v>
                </c:pt>
                <c:pt idx="85">
                  <c:v>3.7357052395625483</c:v>
                </c:pt>
                <c:pt idx="86">
                  <c:v>3.7796547129691662</c:v>
                </c:pt>
                <c:pt idx="87">
                  <c:v>3.8236041863757846</c:v>
                </c:pt>
                <c:pt idx="88">
                  <c:v>3.8675536597824025</c:v>
                </c:pt>
                <c:pt idx="89">
                  <c:v>3.9115031331890209</c:v>
                </c:pt>
                <c:pt idx="90">
                  <c:v>3.9554526065956388</c:v>
                </c:pt>
                <c:pt idx="91">
                  <c:v>3.9994020800022576</c:v>
                </c:pt>
                <c:pt idx="92">
                  <c:v>4.0433515534088755</c:v>
                </c:pt>
                <c:pt idx="93">
                  <c:v>4.0873010268154939</c:v>
                </c:pt>
                <c:pt idx="94">
                  <c:v>4.1312505002221123</c:v>
                </c:pt>
                <c:pt idx="95">
                  <c:v>4.1751999736287297</c:v>
                </c:pt>
                <c:pt idx="96">
                  <c:v>4.2191494470353481</c:v>
                </c:pt>
                <c:pt idx="97">
                  <c:v>4.2630989204419674</c:v>
                </c:pt>
                <c:pt idx="98">
                  <c:v>4.3070483938485848</c:v>
                </c:pt>
                <c:pt idx="99">
                  <c:v>4.3509978672552032</c:v>
                </c:pt>
                <c:pt idx="100">
                  <c:v>4.3949473406618216</c:v>
                </c:pt>
                <c:pt idx="101">
                  <c:v>4.4388968140684399</c:v>
                </c:pt>
                <c:pt idx="102">
                  <c:v>4.4828462874750583</c:v>
                </c:pt>
                <c:pt idx="103">
                  <c:v>4.5267957608816758</c:v>
                </c:pt>
                <c:pt idx="104">
                  <c:v>4.5707452342882942</c:v>
                </c:pt>
                <c:pt idx="105">
                  <c:v>4.6146947076949125</c:v>
                </c:pt>
                <c:pt idx="106">
                  <c:v>4.6586441811015309</c:v>
                </c:pt>
                <c:pt idx="107">
                  <c:v>4.7025936545081484</c:v>
                </c:pt>
                <c:pt idx="108">
                  <c:v>4.7465431279147667</c:v>
                </c:pt>
                <c:pt idx="109">
                  <c:v>4.7904926013213851</c:v>
                </c:pt>
                <c:pt idx="110">
                  <c:v>4.8344420747280035</c:v>
                </c:pt>
                <c:pt idx="111">
                  <c:v>4.8783915481346218</c:v>
                </c:pt>
                <c:pt idx="112">
                  <c:v>4.9223410215412402</c:v>
                </c:pt>
                <c:pt idx="113">
                  <c:v>4.9662904949478586</c:v>
                </c:pt>
                <c:pt idx="114">
                  <c:v>5.0102399683544769</c:v>
                </c:pt>
                <c:pt idx="115">
                  <c:v>5.0541894417610944</c:v>
                </c:pt>
                <c:pt idx="116">
                  <c:v>5.0981389151677128</c:v>
                </c:pt>
                <c:pt idx="117">
                  <c:v>5.1420883885743311</c:v>
                </c:pt>
                <c:pt idx="118">
                  <c:v>5.1860378619809495</c:v>
                </c:pt>
                <c:pt idx="119">
                  <c:v>5.2299873353875679</c:v>
                </c:pt>
                <c:pt idx="120">
                  <c:v>5.2739368087941862</c:v>
                </c:pt>
                <c:pt idx="121">
                  <c:v>5.3178862822008037</c:v>
                </c:pt>
                <c:pt idx="122">
                  <c:v>5.3618357556074221</c:v>
                </c:pt>
                <c:pt idx="123">
                  <c:v>5.4057852290140405</c:v>
                </c:pt>
                <c:pt idx="124">
                  <c:v>5.4497347024206588</c:v>
                </c:pt>
                <c:pt idx="125">
                  <c:v>5.4936841758272763</c:v>
                </c:pt>
                <c:pt idx="126">
                  <c:v>5.5376336492338947</c:v>
                </c:pt>
                <c:pt idx="127">
                  <c:v>5.581583122640513</c:v>
                </c:pt>
                <c:pt idx="128">
                  <c:v>5.6255325960471314</c:v>
                </c:pt>
                <c:pt idx="129">
                  <c:v>5.6694820694537498</c:v>
                </c:pt>
                <c:pt idx="130">
                  <c:v>5.7134315428603681</c:v>
                </c:pt>
                <c:pt idx="131">
                  <c:v>5.7573810162669856</c:v>
                </c:pt>
                <c:pt idx="132">
                  <c:v>5.801330489673604</c:v>
                </c:pt>
                <c:pt idx="133">
                  <c:v>5.8452799630802224</c:v>
                </c:pt>
                <c:pt idx="134">
                  <c:v>5.8892294364868398</c:v>
                </c:pt>
                <c:pt idx="135">
                  <c:v>5.9331789098934591</c:v>
                </c:pt>
                <c:pt idx="136">
                  <c:v>5.9771283833000775</c:v>
                </c:pt>
                <c:pt idx="137">
                  <c:v>6.0210778567066949</c:v>
                </c:pt>
                <c:pt idx="138">
                  <c:v>6.0650273301133133</c:v>
                </c:pt>
                <c:pt idx="139">
                  <c:v>6.1089768035199317</c:v>
                </c:pt>
                <c:pt idx="140">
                  <c:v>6.1529262769265491</c:v>
                </c:pt>
                <c:pt idx="141">
                  <c:v>6.1968757503331675</c:v>
                </c:pt>
                <c:pt idx="142">
                  <c:v>6.2408252237397859</c:v>
                </c:pt>
                <c:pt idx="143">
                  <c:v>6.2847746971464042</c:v>
                </c:pt>
                <c:pt idx="144">
                  <c:v>6.3287241705530217</c:v>
                </c:pt>
                <c:pt idx="145">
                  <c:v>6.372673643959641</c:v>
                </c:pt>
                <c:pt idx="146">
                  <c:v>6.4166231173662585</c:v>
                </c:pt>
                <c:pt idx="147">
                  <c:v>6.4605725907728768</c:v>
                </c:pt>
                <c:pt idx="148">
                  <c:v>6.5045220641794961</c:v>
                </c:pt>
                <c:pt idx="149">
                  <c:v>6.5484715375861127</c:v>
                </c:pt>
                <c:pt idx="150">
                  <c:v>6.5924210109927328</c:v>
                </c:pt>
                <c:pt idx="151">
                  <c:v>6.6363704843993503</c:v>
                </c:pt>
                <c:pt idx="152">
                  <c:v>6.6803199578059695</c:v>
                </c:pt>
                <c:pt idx="153">
                  <c:v>6.724269431212587</c:v>
                </c:pt>
                <c:pt idx="154">
                  <c:v>6.7682189046192054</c:v>
                </c:pt>
                <c:pt idx="155">
                  <c:v>6.8121683780258229</c:v>
                </c:pt>
                <c:pt idx="156">
                  <c:v>6.8561178514324421</c:v>
                </c:pt>
                <c:pt idx="157">
                  <c:v>6.9000673248390596</c:v>
                </c:pt>
                <c:pt idx="158">
                  <c:v>6.944016798245678</c:v>
                </c:pt>
                <c:pt idx="159">
                  <c:v>6.9879662716522972</c:v>
                </c:pt>
                <c:pt idx="160">
                  <c:v>7.0319157450589138</c:v>
                </c:pt>
                <c:pt idx="161">
                  <c:v>7.0758652184655331</c:v>
                </c:pt>
                <c:pt idx="162">
                  <c:v>7.1198146918721505</c:v>
                </c:pt>
                <c:pt idx="163">
                  <c:v>7.1637641652787689</c:v>
                </c:pt>
                <c:pt idx="164">
                  <c:v>7.2077136386853864</c:v>
                </c:pt>
                <c:pt idx="165">
                  <c:v>7.2516631120920056</c:v>
                </c:pt>
                <c:pt idx="166">
                  <c:v>7.2956125854986231</c:v>
                </c:pt>
                <c:pt idx="167">
                  <c:v>7.3395620589052415</c:v>
                </c:pt>
                <c:pt idx="168">
                  <c:v>7.3835115323118607</c:v>
                </c:pt>
                <c:pt idx="169">
                  <c:v>7.4274610057184782</c:v>
                </c:pt>
                <c:pt idx="170">
                  <c:v>7.4714104791250966</c:v>
                </c:pt>
                <c:pt idx="171">
                  <c:v>7.5153599525317141</c:v>
                </c:pt>
                <c:pt idx="172">
                  <c:v>7.5593094259383324</c:v>
                </c:pt>
                <c:pt idx="173">
                  <c:v>7.6032588993449499</c:v>
                </c:pt>
                <c:pt idx="174">
                  <c:v>7.6472083727515692</c:v>
                </c:pt>
                <c:pt idx="175">
                  <c:v>7.6911578461581875</c:v>
                </c:pt>
                <c:pt idx="176">
                  <c:v>7.735107319564805</c:v>
                </c:pt>
                <c:pt idx="177">
                  <c:v>7.7790567929714243</c:v>
                </c:pt>
                <c:pt idx="178">
                  <c:v>7.8230062663780418</c:v>
                </c:pt>
                <c:pt idx="179">
                  <c:v>7.8669557397846601</c:v>
                </c:pt>
                <c:pt idx="180">
                  <c:v>7.9109052131912776</c:v>
                </c:pt>
                <c:pt idx="181">
                  <c:v>7.9548546865978969</c:v>
                </c:pt>
                <c:pt idx="182">
                  <c:v>7.9988041600045152</c:v>
                </c:pt>
                <c:pt idx="183">
                  <c:v>8.0427536334111327</c:v>
                </c:pt>
                <c:pt idx="184">
                  <c:v>8.0867031068177511</c:v>
                </c:pt>
                <c:pt idx="185">
                  <c:v>8.1306525802243694</c:v>
                </c:pt>
                <c:pt idx="186">
                  <c:v>8.1746020536309878</c:v>
                </c:pt>
                <c:pt idx="187">
                  <c:v>8.2185515270376044</c:v>
                </c:pt>
                <c:pt idx="188">
                  <c:v>8.2625010004442245</c:v>
                </c:pt>
                <c:pt idx="189">
                  <c:v>8.3064504738508411</c:v>
                </c:pt>
                <c:pt idx="190">
                  <c:v>8.3503999472574595</c:v>
                </c:pt>
                <c:pt idx="191">
                  <c:v>8.3943494206640796</c:v>
                </c:pt>
                <c:pt idx="192">
                  <c:v>8.4382988940706962</c:v>
                </c:pt>
                <c:pt idx="193">
                  <c:v>8.4822483674773146</c:v>
                </c:pt>
                <c:pt idx="194">
                  <c:v>8.5261978408839347</c:v>
                </c:pt>
                <c:pt idx="195">
                  <c:v>8.5701473142905531</c:v>
                </c:pt>
                <c:pt idx="196">
                  <c:v>8.6140967876971697</c:v>
                </c:pt>
                <c:pt idx="197">
                  <c:v>8.6580462611037881</c:v>
                </c:pt>
                <c:pt idx="198">
                  <c:v>8.7019957345104064</c:v>
                </c:pt>
                <c:pt idx="199">
                  <c:v>8.7459452079170248</c:v>
                </c:pt>
                <c:pt idx="200">
                  <c:v>8.7898946813236432</c:v>
                </c:pt>
                <c:pt idx="201">
                  <c:v>8.8338441547302615</c:v>
                </c:pt>
                <c:pt idx="202">
                  <c:v>8.8777936281368799</c:v>
                </c:pt>
                <c:pt idx="203">
                  <c:v>8.9217431015434983</c:v>
                </c:pt>
                <c:pt idx="204">
                  <c:v>8.9656925749501166</c:v>
                </c:pt>
                <c:pt idx="205">
                  <c:v>9.0096420483567332</c:v>
                </c:pt>
                <c:pt idx="206">
                  <c:v>9.0535915217633516</c:v>
                </c:pt>
                <c:pt idx="207">
                  <c:v>9.0975409951699699</c:v>
                </c:pt>
                <c:pt idx="208">
                  <c:v>9.1414904685765883</c:v>
                </c:pt>
                <c:pt idx="209">
                  <c:v>9.1854399419832067</c:v>
                </c:pt>
                <c:pt idx="210">
                  <c:v>9.229389415389825</c:v>
                </c:pt>
                <c:pt idx="211">
                  <c:v>9.2733388887964434</c:v>
                </c:pt>
                <c:pt idx="212">
                  <c:v>9.3172883622030618</c:v>
                </c:pt>
                <c:pt idx="213">
                  <c:v>9.3612378356096801</c:v>
                </c:pt>
                <c:pt idx="214">
                  <c:v>9.4051873090162967</c:v>
                </c:pt>
                <c:pt idx="215">
                  <c:v>9.4491367824229169</c:v>
                </c:pt>
                <c:pt idx="216">
                  <c:v>9.4930862558295335</c:v>
                </c:pt>
                <c:pt idx="217">
                  <c:v>9.5370357292361518</c:v>
                </c:pt>
                <c:pt idx="218">
                  <c:v>9.5809852026427702</c:v>
                </c:pt>
                <c:pt idx="219">
                  <c:v>9.6249346760493886</c:v>
                </c:pt>
                <c:pt idx="220">
                  <c:v>9.6688841494560069</c:v>
                </c:pt>
                <c:pt idx="221">
                  <c:v>9.7128336228626253</c:v>
                </c:pt>
                <c:pt idx="222">
                  <c:v>9.7567830962692437</c:v>
                </c:pt>
                <c:pt idx="223">
                  <c:v>9.8007325696758603</c:v>
                </c:pt>
                <c:pt idx="224">
                  <c:v>9.8446820430824804</c:v>
                </c:pt>
                <c:pt idx="225">
                  <c:v>9.8886315164890988</c:v>
                </c:pt>
                <c:pt idx="226">
                  <c:v>9.9325809898957171</c:v>
                </c:pt>
                <c:pt idx="227">
                  <c:v>9.9765304633023355</c:v>
                </c:pt>
                <c:pt idx="228">
                  <c:v>10.020479936708954</c:v>
                </c:pt>
                <c:pt idx="229">
                  <c:v>10.064429410115572</c:v>
                </c:pt>
                <c:pt idx="230">
                  <c:v>10.108378883522189</c:v>
                </c:pt>
                <c:pt idx="231">
                  <c:v>10.152328356928809</c:v>
                </c:pt>
                <c:pt idx="232">
                  <c:v>10.196277830335426</c:v>
                </c:pt>
                <c:pt idx="233">
                  <c:v>10.240227303742044</c:v>
                </c:pt>
                <c:pt idx="234">
                  <c:v>10.284176777148662</c:v>
                </c:pt>
                <c:pt idx="235">
                  <c:v>10.328126250555281</c:v>
                </c:pt>
                <c:pt idx="236">
                  <c:v>10.372075723961899</c:v>
                </c:pt>
                <c:pt idx="237">
                  <c:v>10.416025197368517</c:v>
                </c:pt>
                <c:pt idx="238">
                  <c:v>10.459974670775136</c:v>
                </c:pt>
                <c:pt idx="239">
                  <c:v>10.503924144181754</c:v>
                </c:pt>
                <c:pt idx="240">
                  <c:v>10.547873617588372</c:v>
                </c:pt>
                <c:pt idx="241">
                  <c:v>10.591823090994989</c:v>
                </c:pt>
                <c:pt idx="242">
                  <c:v>10.635772564401607</c:v>
                </c:pt>
                <c:pt idx="243">
                  <c:v>10.679722037808226</c:v>
                </c:pt>
                <c:pt idx="244">
                  <c:v>10.723671511214844</c:v>
                </c:pt>
                <c:pt idx="245">
                  <c:v>10.767620984621463</c:v>
                </c:pt>
                <c:pt idx="246">
                  <c:v>10.811570458028081</c:v>
                </c:pt>
                <c:pt idx="247">
                  <c:v>10.855519931434699</c:v>
                </c:pt>
                <c:pt idx="248">
                  <c:v>10.899469404841318</c:v>
                </c:pt>
                <c:pt idx="249">
                  <c:v>10.943418878247936</c:v>
                </c:pt>
                <c:pt idx="250">
                  <c:v>10.987368351654553</c:v>
                </c:pt>
                <c:pt idx="251">
                  <c:v>11.031317825061173</c:v>
                </c:pt>
                <c:pt idx="252">
                  <c:v>11.075267298467789</c:v>
                </c:pt>
                <c:pt idx="253">
                  <c:v>11.119216771874408</c:v>
                </c:pt>
                <c:pt idx="254">
                  <c:v>11.163166245281026</c:v>
                </c:pt>
                <c:pt idx="255">
                  <c:v>11.207115718687644</c:v>
                </c:pt>
                <c:pt idx="256">
                  <c:v>11.251065192094263</c:v>
                </c:pt>
                <c:pt idx="257">
                  <c:v>11.295014665500881</c:v>
                </c:pt>
                <c:pt idx="258">
                  <c:v>11.3389641389075</c:v>
                </c:pt>
                <c:pt idx="259">
                  <c:v>11.382913612314116</c:v>
                </c:pt>
                <c:pt idx="260">
                  <c:v>11.426863085720736</c:v>
                </c:pt>
                <c:pt idx="261">
                  <c:v>11.470812559127355</c:v>
                </c:pt>
                <c:pt idx="262">
                  <c:v>11.514762032533971</c:v>
                </c:pt>
                <c:pt idx="263">
                  <c:v>11.55871150594059</c:v>
                </c:pt>
                <c:pt idx="264">
                  <c:v>11.602660979347208</c:v>
                </c:pt>
                <c:pt idx="265">
                  <c:v>11.646610452753826</c:v>
                </c:pt>
                <c:pt idx="266">
                  <c:v>11.690559926160445</c:v>
                </c:pt>
                <c:pt idx="267">
                  <c:v>11.734509399567063</c:v>
                </c:pt>
                <c:pt idx="268">
                  <c:v>11.77845887297368</c:v>
                </c:pt>
                <c:pt idx="269">
                  <c:v>11.8224083463803</c:v>
                </c:pt>
                <c:pt idx="270">
                  <c:v>11.866357819786918</c:v>
                </c:pt>
                <c:pt idx="271">
                  <c:v>11.910307293193535</c:v>
                </c:pt>
                <c:pt idx="272">
                  <c:v>11.954256766600155</c:v>
                </c:pt>
                <c:pt idx="273">
                  <c:v>11.998206240006771</c:v>
                </c:pt>
                <c:pt idx="274">
                  <c:v>12.04215571341339</c:v>
                </c:pt>
                <c:pt idx="275">
                  <c:v>12.086105186820008</c:v>
                </c:pt>
                <c:pt idx="276">
                  <c:v>12.130054660226627</c:v>
                </c:pt>
                <c:pt idx="277">
                  <c:v>12.174004133633243</c:v>
                </c:pt>
                <c:pt idx="278">
                  <c:v>12.217953607039863</c:v>
                </c:pt>
                <c:pt idx="279">
                  <c:v>12.261903080446482</c:v>
                </c:pt>
                <c:pt idx="280">
                  <c:v>12.305852553853098</c:v>
                </c:pt>
                <c:pt idx="281">
                  <c:v>12.349802027259718</c:v>
                </c:pt>
                <c:pt idx="282">
                  <c:v>12.393751500666335</c:v>
                </c:pt>
                <c:pt idx="283">
                  <c:v>12.437700974072953</c:v>
                </c:pt>
                <c:pt idx="284">
                  <c:v>12.481650447479572</c:v>
                </c:pt>
                <c:pt idx="285">
                  <c:v>12.52559992088619</c:v>
                </c:pt>
                <c:pt idx="286">
                  <c:v>12.569549394292808</c:v>
                </c:pt>
                <c:pt idx="287">
                  <c:v>12.613498867699427</c:v>
                </c:pt>
                <c:pt idx="288">
                  <c:v>12.657448341106043</c:v>
                </c:pt>
                <c:pt idx="289">
                  <c:v>12.701397814512664</c:v>
                </c:pt>
                <c:pt idx="290">
                  <c:v>12.745347287919282</c:v>
                </c:pt>
                <c:pt idx="291">
                  <c:v>12.789296761325899</c:v>
                </c:pt>
                <c:pt idx="292">
                  <c:v>12.833246234732517</c:v>
                </c:pt>
                <c:pt idx="293">
                  <c:v>12.877195708139137</c:v>
                </c:pt>
                <c:pt idx="294">
                  <c:v>12.921145181545754</c:v>
                </c:pt>
                <c:pt idx="295">
                  <c:v>12.96509465495237</c:v>
                </c:pt>
                <c:pt idx="296">
                  <c:v>13.009044128358992</c:v>
                </c:pt>
                <c:pt idx="297">
                  <c:v>13.052993601765609</c:v>
                </c:pt>
                <c:pt idx="298">
                  <c:v>13.096943075172225</c:v>
                </c:pt>
                <c:pt idx="299">
                  <c:v>13.140892548578845</c:v>
                </c:pt>
                <c:pt idx="300">
                  <c:v>13.184842021985466</c:v>
                </c:pt>
              </c:numCache>
            </c:numRef>
          </c:xVal>
          <c:yVal>
            <c:numRef>
              <c:f>Horizontal!$D$373:$D$673</c:f>
              <c:numCache>
                <c:formatCode>General</c:formatCode>
                <c:ptCount val="301"/>
                <c:pt idx="0">
                  <c:v>4.9359281932971769E-3</c:v>
                </c:pt>
                <c:pt idx="1">
                  <c:v>4.9359128343144975E-3</c:v>
                </c:pt>
                <c:pt idx="2">
                  <c:v>4.9358667568544798E-3</c:v>
                </c:pt>
                <c:pt idx="3">
                  <c:v>4.9357899593811009E-3</c:v>
                </c:pt>
                <c:pt idx="4">
                  <c:v>4.935682439334039E-3</c:v>
                </c:pt>
                <c:pt idx="5">
                  <c:v>4.9355441931282495E-3</c:v>
                </c:pt>
                <c:pt idx="6">
                  <c:v>4.9353752161533605E-3</c:v>
                </c:pt>
                <c:pt idx="7">
                  <c:v>4.9351755027729075E-3</c:v>
                </c:pt>
                <c:pt idx="8">
                  <c:v>4.9349450463233935E-3</c:v>
                </c:pt>
                <c:pt idx="9">
                  <c:v>4.9346838391131752E-3</c:v>
                </c:pt>
                <c:pt idx="10">
                  <c:v>4.9343918724211819E-3</c:v>
                </c:pt>
                <c:pt idx="11">
                  <c:v>4.9340691364954488E-3</c:v>
                </c:pt>
                <c:pt idx="12">
                  <c:v>4.9337156205514964E-3</c:v>
                </c:pt>
                <c:pt idx="13">
                  <c:v>4.933331312770523E-3</c:v>
                </c:pt>
                <c:pt idx="14">
                  <c:v>4.9329162002974209E-3</c:v>
                </c:pt>
                <c:pt idx="15">
                  <c:v>4.9324702692386249E-3</c:v>
                </c:pt>
                <c:pt idx="16">
                  <c:v>4.9319935046597783E-3</c:v>
                </c:pt>
                <c:pt idx="17">
                  <c:v>4.9314858905832289E-3</c:v>
                </c:pt>
                <c:pt idx="18">
                  <c:v>4.9309474099853371E-3</c:v>
                </c:pt>
                <c:pt idx="19">
                  <c:v>4.9303780447936133E-3</c:v>
                </c:pt>
                <c:pt idx="20">
                  <c:v>4.9297777758836687E-3</c:v>
                </c:pt>
                <c:pt idx="21">
                  <c:v>4.9291465830759874E-3</c:v>
                </c:pt>
                <c:pt idx="22">
                  <c:v>4.9284844451325189E-3</c:v>
                </c:pt>
                <c:pt idx="23">
                  <c:v>4.9277913397530737E-3</c:v>
                </c:pt>
                <c:pt idx="24">
                  <c:v>4.9270672435715547E-3</c:v>
                </c:pt>
                <c:pt idx="25">
                  <c:v>4.9263121321519781E-3</c:v>
                </c:pt>
                <c:pt idx="26">
                  <c:v>4.9255259799843229E-3</c:v>
                </c:pt>
                <c:pt idx="27">
                  <c:v>4.9247087604801796E-3</c:v>
                </c:pt>
                <c:pt idx="28">
                  <c:v>4.9238604459682115E-3</c:v>
                </c:pt>
                <c:pt idx="29">
                  <c:v>4.9229810076894228E-3</c:v>
                </c:pt>
                <c:pt idx="30">
                  <c:v>4.9220704157922268E-3</c:v>
                </c:pt>
                <c:pt idx="31">
                  <c:v>4.9211286393273162E-3</c:v>
                </c:pt>
                <c:pt idx="32">
                  <c:v>4.9201556462423459E-3</c:v>
                </c:pt>
                <c:pt idx="33">
                  <c:v>4.9191514033763853E-3</c:v>
                </c:pt>
                <c:pt idx="34">
                  <c:v>4.9181158764542016E-3</c:v>
                </c:pt>
                <c:pt idx="35">
                  <c:v>4.9170490300803095E-3</c:v>
                </c:pt>
                <c:pt idx="36">
                  <c:v>4.9159508277328238E-3</c:v>
                </c:pt>
                <c:pt idx="37">
                  <c:v>4.9148212317570959E-3</c:v>
                </c:pt>
                <c:pt idx="38">
                  <c:v>4.9136602033591405E-3</c:v>
                </c:pt>
                <c:pt idx="39">
                  <c:v>4.9124677025988387E-3</c:v>
                </c:pt>
                <c:pt idx="40">
                  <c:v>4.9112436883829271E-3</c:v>
                </c:pt>
                <c:pt idx="41">
                  <c:v>4.9099881184577606E-3</c:v>
                </c:pt>
                <c:pt idx="42">
                  <c:v>4.9087009494018525E-3</c:v>
                </c:pt>
                <c:pt idx="43">
                  <c:v>4.9073821366181786E-3</c:v>
                </c:pt>
                <c:pt idx="44">
                  <c:v>4.9060316343262625E-3</c:v>
                </c:pt>
                <c:pt idx="45">
                  <c:v>4.9046493955540059E-3</c:v>
                </c:pt>
                <c:pt idx="46">
                  <c:v>4.9032353721292958E-3</c:v>
                </c:pt>
                <c:pt idx="47">
                  <c:v>4.9017895146713673E-3</c:v>
                </c:pt>
                <c:pt idx="48">
                  <c:v>4.9003117725819126E-3</c:v>
                </c:pt>
                <c:pt idx="49">
                  <c:v>4.8988020940359377E-3</c:v>
                </c:pt>
                <c:pt idx="50">
                  <c:v>4.8972604259723829E-3</c:v>
                </c:pt>
                <c:pt idx="51">
                  <c:v>4.8956867140844624E-3</c:v>
                </c:pt>
                <c:pt idx="52">
                  <c:v>4.8940809028097561E-3</c:v>
                </c:pt>
                <c:pt idx="53">
                  <c:v>4.8924429353200318E-3</c:v>
                </c:pt>
                <c:pt idx="54">
                  <c:v>4.8907727535107857E-3</c:v>
                </c:pt>
                <c:pt idx="55">
                  <c:v>4.8890702979905252E-3</c:v>
                </c:pt>
                <c:pt idx="56">
                  <c:v>4.8873355080697569E-3</c:v>
                </c:pt>
                <c:pt idx="57">
                  <c:v>4.8855683217496892E-3</c:v>
                </c:pt>
                <c:pt idx="58">
                  <c:v>4.8837686757106534E-3</c:v>
                </c:pt>
                <c:pt idx="59">
                  <c:v>4.8819365053002165E-3</c:v>
                </c:pt>
                <c:pt idx="60">
                  <c:v>4.8800717445210062E-3</c:v>
                </c:pt>
                <c:pt idx="61">
                  <c:v>4.8781743260182123E-3</c:v>
                </c:pt>
                <c:pt idx="62">
                  <c:v>4.876244181066791E-3</c:v>
                </c:pt>
                <c:pt idx="63">
                  <c:v>4.874281239558337E-3</c:v>
                </c:pt>
                <c:pt idx="64">
                  <c:v>4.8722854299876467E-3</c:v>
                </c:pt>
                <c:pt idx="65">
                  <c:v>4.8702566794389269E-3</c:v>
                </c:pt>
                <c:pt idx="66">
                  <c:v>4.8681949135716863E-3</c:v>
                </c:pt>
                <c:pt idx="67">
                  <c:v>4.866100056606276E-3</c:v>
                </c:pt>
                <c:pt idx="68">
                  <c:v>4.863972031309071E-3</c:v>
                </c:pt>
                <c:pt idx="69">
                  <c:v>4.8618107589773075E-3</c:v>
                </c:pt>
                <c:pt idx="70">
                  <c:v>4.8596161594235375E-3</c:v>
                </c:pt>
                <c:pt idx="71">
                  <c:v>4.8573881509597254E-3</c:v>
                </c:pt>
                <c:pt idx="72">
                  <c:v>4.8551266503809509E-3</c:v>
                </c:pt>
                <c:pt idx="73">
                  <c:v>4.852831572948732E-3</c:v>
                </c:pt>
                <c:pt idx="74">
                  <c:v>4.8505028323739411E-3</c:v>
                </c:pt>
                <c:pt idx="75">
                  <c:v>4.848140340799327E-3</c:v>
                </c:pt>
                <c:pt idx="76">
                  <c:v>4.8457440087816038E-3</c:v>
                </c:pt>
                <c:pt idx="77">
                  <c:v>4.843313745273135E-3</c:v>
                </c:pt>
                <c:pt idx="78">
                  <c:v>4.8408494576031745E-3</c:v>
                </c:pt>
                <c:pt idx="79">
                  <c:v>4.8383510514586562E-3</c:v>
                </c:pt>
                <c:pt idx="80">
                  <c:v>4.8358184308645519E-3</c:v>
                </c:pt>
                <c:pt idx="81">
                  <c:v>4.8332514981637448E-3</c:v>
                </c:pt>
                <c:pt idx="82">
                  <c:v>4.8306501539964394E-3</c:v>
                </c:pt>
                <c:pt idx="83">
                  <c:v>4.8280142972790827E-3</c:v>
                </c:pt>
                <c:pt idx="84">
                  <c:v>4.8253438251827938E-3</c:v>
                </c:pt>
                <c:pt idx="85">
                  <c:v>4.822638633111281E-3</c:v>
                </c:pt>
                <c:pt idx="86">
                  <c:v>4.8198986146782375E-3</c:v>
                </c:pt>
                <c:pt idx="87">
                  <c:v>4.8171236616842139E-3</c:v>
                </c:pt>
                <c:pt idx="88">
                  <c:v>4.8143136640929358E-3</c:v>
                </c:pt>
                <c:pt idx="89">
                  <c:v>4.8114685100070663E-3</c:v>
                </c:pt>
                <c:pt idx="90">
                  <c:v>4.8085880856434046E-3</c:v>
                </c:pt>
                <c:pt idx="91">
                  <c:v>4.805672275307483E-3</c:v>
                </c:pt>
                <c:pt idx="92">
                  <c:v>4.8027209613675801E-3</c:v>
                </c:pt>
                <c:pt idx="93">
                  <c:v>4.7997340242281108E-3</c:v>
                </c:pt>
                <c:pt idx="94">
                  <c:v>4.7967113423023839E-3</c:v>
                </c:pt>
                <c:pt idx="95">
                  <c:v>4.7936527919847215E-3</c:v>
                </c:pt>
                <c:pt idx="96">
                  <c:v>4.7905582476219059E-3</c:v>
                </c:pt>
                <c:pt idx="97">
                  <c:v>4.7874275814839577E-3</c:v>
                </c:pt>
                <c:pt idx="98">
                  <c:v>4.784260663734205E-3</c:v>
                </c:pt>
                <c:pt idx="99">
                  <c:v>4.7810573623986502E-3</c:v>
                </c:pt>
                <c:pt idx="100">
                  <c:v>4.7778175433345902E-3</c:v>
                </c:pt>
                <c:pt idx="101">
                  <c:v>4.7745410701984957E-3</c:v>
                </c:pt>
                <c:pt idx="102">
                  <c:v>4.7712278044131067E-3</c:v>
                </c:pt>
                <c:pt idx="103">
                  <c:v>4.767877605133742E-3</c:v>
                </c:pt>
                <c:pt idx="104">
                  <c:v>4.7644903292137931E-3</c:v>
                </c:pt>
                <c:pt idx="105">
                  <c:v>4.7610658311693782E-3</c:v>
                </c:pt>
                <c:pt idx="106">
                  <c:v>4.7576039631431382E-3</c:v>
                </c:pt>
                <c:pt idx="107">
                  <c:v>4.7541045748671464E-3</c:v>
                </c:pt>
                <c:pt idx="108">
                  <c:v>4.7505675136249297E-3</c:v>
                </c:pt>
                <c:pt idx="109">
                  <c:v>4.7469926242125213E-3</c:v>
                </c:pt>
                <c:pt idx="110">
                  <c:v>4.7433797488985923E-3</c:v>
                </c:pt>
                <c:pt idx="111">
                  <c:v>4.7397287273835791E-3</c:v>
                </c:pt>
                <c:pt idx="112">
                  <c:v>4.7360393967577942E-3</c:v>
                </c:pt>
                <c:pt idx="113">
                  <c:v>4.7323115914585179E-3</c:v>
                </c:pt>
                <c:pt idx="114">
                  <c:v>4.7285451432259864E-3</c:v>
                </c:pt>
                <c:pt idx="115">
                  <c:v>4.7247398810583048E-3</c:v>
                </c:pt>
                <c:pt idx="116">
                  <c:v>4.7208956311652183E-3</c:v>
                </c:pt>
                <c:pt idx="117">
                  <c:v>4.7170122169207058E-3</c:v>
                </c:pt>
                <c:pt idx="118">
                  <c:v>4.7130894588143851E-3</c:v>
                </c:pt>
                <c:pt idx="119">
                  <c:v>4.7091271744016802E-3</c:v>
                </c:pt>
                <c:pt idx="120">
                  <c:v>4.7051251782527078E-3</c:v>
                </c:pt>
                <c:pt idx="121">
                  <c:v>4.7010832818998576E-3</c:v>
                </c:pt>
                <c:pt idx="122">
                  <c:v>4.6970012937840233E-3</c:v>
                </c:pt>
                <c:pt idx="123">
                  <c:v>4.6928790191994351E-3</c:v>
                </c:pt>
                <c:pt idx="124">
                  <c:v>4.6887162602370705E-3</c:v>
                </c:pt>
                <c:pt idx="125">
                  <c:v>4.6845128157265714E-3</c:v>
                </c:pt>
                <c:pt idx="126">
                  <c:v>4.6802684811766502E-3</c:v>
                </c:pt>
                <c:pt idx="127">
                  <c:v>4.6759830487139208E-3</c:v>
                </c:pt>
                <c:pt idx="128">
                  <c:v>4.6716563070201096E-3</c:v>
                </c:pt>
                <c:pt idx="129">
                  <c:v>4.6672880412675947E-3</c:v>
                </c:pt>
                <c:pt idx="130">
                  <c:v>4.6628780330532247E-3</c:v>
                </c:pt>
                <c:pt idx="131">
                  <c:v>4.6584260603303573E-3</c:v>
                </c:pt>
                <c:pt idx="132">
                  <c:v>4.6539318973390616E-3</c:v>
                </c:pt>
                <c:pt idx="133">
                  <c:v>4.6493953145344295E-3</c:v>
                </c:pt>
                <c:pt idx="134">
                  <c:v>4.6448160785129292E-3</c:v>
                </c:pt>
                <c:pt idx="135">
                  <c:v>4.6401939519367342E-3</c:v>
                </c:pt>
                <c:pt idx="136">
                  <c:v>4.6355286934559765E-3</c:v>
                </c:pt>
                <c:pt idx="137">
                  <c:v>4.6308200576288356E-3</c:v>
                </c:pt>
                <c:pt idx="138">
                  <c:v>4.6260677948394028E-3</c:v>
                </c:pt>
                <c:pt idx="139">
                  <c:v>4.6212716512132462E-3</c:v>
                </c:pt>
                <c:pt idx="140">
                  <c:v>4.6164313685306017E-3</c:v>
                </c:pt>
                <c:pt idx="141">
                  <c:v>4.6115466841370823E-3</c:v>
                </c:pt>
                <c:pt idx="142">
                  <c:v>4.6066173308518749E-3</c:v>
                </c:pt>
                <c:pt idx="143">
                  <c:v>4.6016430368732795E-3</c:v>
                </c:pt>
                <c:pt idx="144">
                  <c:v>4.5966235256815367E-3</c:v>
                </c:pt>
                <c:pt idx="145">
                  <c:v>4.5915585159388385E-3</c:v>
                </c:pt>
                <c:pt idx="146">
                  <c:v>4.5864477213864207E-3</c:v>
                </c:pt>
                <c:pt idx="147">
                  <c:v>4.5812908507386306E-3</c:v>
                </c:pt>
                <c:pt idx="148">
                  <c:v>4.5760876075738718E-3</c:v>
                </c:pt>
                <c:pt idx="149">
                  <c:v>4.5708376902223145E-3</c:v>
                </c:pt>
                <c:pt idx="150">
                  <c:v>4.5655407916502409E-3</c:v>
                </c:pt>
                <c:pt idx="151">
                  <c:v>4.5601965993409144E-3</c:v>
                </c:pt>
                <c:pt idx="152">
                  <c:v>4.5548047951718519E-3</c:v>
                </c:pt>
                <c:pt idx="153">
                  <c:v>4.5493650552883387E-3</c:v>
                </c:pt>
                <c:pt idx="154">
                  <c:v>4.543877049973096E-3</c:v>
                </c:pt>
                <c:pt idx="155">
                  <c:v>4.5383404435118922E-3</c:v>
                </c:pt>
                <c:pt idx="156">
                  <c:v>4.5327548940550097E-3</c:v>
                </c:pt>
                <c:pt idx="157">
                  <c:v>4.5271200534743646E-3</c:v>
                </c:pt>
                <c:pt idx="158">
                  <c:v>4.5214355672161376E-3</c:v>
                </c:pt>
                <c:pt idx="159">
                  <c:v>4.515701074148731E-3</c:v>
                </c:pt>
                <c:pt idx="160">
                  <c:v>4.5099162064058725E-3</c:v>
                </c:pt>
                <c:pt idx="161">
                  <c:v>4.5040805892246922E-3</c:v>
                </c:pt>
                <c:pt idx="162">
                  <c:v>4.4981938407785476E-3</c:v>
                </c:pt>
                <c:pt idx="163">
                  <c:v>4.4922555720044149E-3</c:v>
                </c:pt>
                <c:pt idx="164">
                  <c:v>4.4862653864246082E-3</c:v>
                </c:pt>
                <c:pt idx="165">
                  <c:v>4.48022287996262E-3</c:v>
                </c:pt>
                <c:pt idx="166">
                  <c:v>4.474127640752828E-3</c:v>
                </c:pt>
                <c:pt idx="167">
                  <c:v>4.4679792489438199E-3</c:v>
                </c:pt>
                <c:pt idx="168">
                  <c:v>4.4617772764950908E-3</c:v>
                </c:pt>
                <c:pt idx="169">
                  <c:v>4.4555212869668119E-3</c:v>
                </c:pt>
                <c:pt idx="170">
                  <c:v>4.4492108353024022E-3</c:v>
                </c:pt>
                <c:pt idx="171">
                  <c:v>4.4428454676035964E-3</c:v>
                </c:pt>
                <c:pt idx="172">
                  <c:v>4.4364247208976823E-3</c:v>
                </c:pt>
                <c:pt idx="173">
                  <c:v>4.4299481228965744E-3</c:v>
                </c:pt>
                <c:pt idx="174">
                  <c:v>4.4234151917473923E-3</c:v>
                </c:pt>
                <c:pt idx="175">
                  <c:v>4.4168254357741452E-3</c:v>
                </c:pt>
                <c:pt idx="176">
                  <c:v>4.4101783532101424E-3</c:v>
                </c:pt>
                <c:pt idx="177">
                  <c:v>4.4034734319207446E-3</c:v>
                </c:pt>
                <c:pt idx="178">
                  <c:v>4.3967101491159859E-3</c:v>
                </c:pt>
                <c:pt idx="179">
                  <c:v>4.3898879710526422E-3</c:v>
                </c:pt>
                <c:pt idx="180">
                  <c:v>4.3830063527252622E-3</c:v>
                </c:pt>
                <c:pt idx="181">
                  <c:v>4.376064737545639E-3</c:v>
                </c:pt>
                <c:pt idx="182">
                  <c:v>4.3690625570102235E-3</c:v>
                </c:pt>
                <c:pt idx="183">
                  <c:v>4.361999230354888E-3</c:v>
                </c:pt>
                <c:pt idx="184">
                  <c:v>4.3548741641964706E-3</c:v>
                </c:pt>
                <c:pt idx="185">
                  <c:v>4.347686752160451E-3</c:v>
                </c:pt>
                <c:pt idx="186">
                  <c:v>4.3404363744941376E-3</c:v>
                </c:pt>
                <c:pt idx="187">
                  <c:v>4.3331223976646235E-3</c:v>
                </c:pt>
                <c:pt idx="188">
                  <c:v>4.3257441739408013E-3</c:v>
                </c:pt>
                <c:pt idx="189">
                  <c:v>4.3183010409586515E-3</c:v>
                </c:pt>
                <c:pt idx="190">
                  <c:v>4.3107923212689766E-3</c:v>
                </c:pt>
                <c:pt idx="191">
                  <c:v>4.3032173218666963E-3</c:v>
                </c:pt>
                <c:pt idx="192">
                  <c:v>4.2955753337008086E-3</c:v>
                </c:pt>
                <c:pt idx="193">
                  <c:v>4.2878656311639814E-3</c:v>
                </c:pt>
                <c:pt idx="194">
                  <c:v>4.280087471560794E-3</c:v>
                </c:pt>
                <c:pt idx="195">
                  <c:v>4.2722400945534736E-3</c:v>
                </c:pt>
                <c:pt idx="196">
                  <c:v>4.2643227215839741E-3</c:v>
                </c:pt>
                <c:pt idx="197">
                  <c:v>4.2563345552711507E-3</c:v>
                </c:pt>
                <c:pt idx="198">
                  <c:v>4.2482747787816952E-3</c:v>
                </c:pt>
                <c:pt idx="199">
                  <c:v>4.2401425551734269E-3</c:v>
                </c:pt>
                <c:pt idx="200">
                  <c:v>4.2319370267094392E-3</c:v>
                </c:pt>
                <c:pt idx="201">
                  <c:v>4.2236573141414954E-3</c:v>
                </c:pt>
                <c:pt idx="202">
                  <c:v>4.2153025159609725E-3</c:v>
                </c:pt>
                <c:pt idx="203">
                  <c:v>4.2068717076155539E-3</c:v>
                </c:pt>
                <c:pt idx="204">
                  <c:v>4.198363940689686E-3</c:v>
                </c:pt>
                <c:pt idx="205">
                  <c:v>4.1897782420467957E-3</c:v>
                </c:pt>
                <c:pt idx="206">
                  <c:v>4.1811136129309969E-3</c:v>
                </c:pt>
                <c:pt idx="207">
                  <c:v>4.1723690280259509E-3</c:v>
                </c:pt>
                <c:pt idx="208">
                  <c:v>4.1635434344683541E-3</c:v>
                </c:pt>
                <c:pt idx="209">
                  <c:v>4.1546357508133345E-3</c:v>
                </c:pt>
                <c:pt idx="210">
                  <c:v>4.1456448659488564E-3</c:v>
                </c:pt>
                <c:pt idx="211">
                  <c:v>4.1365696379560358E-3</c:v>
                </c:pt>
                <c:pt idx="212">
                  <c:v>4.1274088929120012E-3</c:v>
                </c:pt>
                <c:pt idx="213">
                  <c:v>4.1181614236317533E-3</c:v>
                </c:pt>
                <c:pt idx="214">
                  <c:v>4.1088259883451436E-3</c:v>
                </c:pt>
                <c:pt idx="215">
                  <c:v>4.0994013093048256E-3</c:v>
                </c:pt>
                <c:pt idx="216">
                  <c:v>4.0898860713207454E-3</c:v>
                </c:pt>
                <c:pt idx="217">
                  <c:v>4.0802789202163455E-3</c:v>
                </c:pt>
                <c:pt idx="218">
                  <c:v>4.0705784612013012E-3</c:v>
                </c:pt>
                <c:pt idx="219">
                  <c:v>4.0607832571552061E-3</c:v>
                </c:pt>
                <c:pt idx="220">
                  <c:v>4.0508918268161555E-3</c:v>
                </c:pt>
                <c:pt idx="221">
                  <c:v>4.0409026428677086E-3</c:v>
                </c:pt>
                <c:pt idx="222">
                  <c:v>4.0308141299171384E-3</c:v>
                </c:pt>
                <c:pt idx="223">
                  <c:v>4.02062466235733E-3</c:v>
                </c:pt>
                <c:pt idx="224">
                  <c:v>4.0103325621040214E-3</c:v>
                </c:pt>
                <c:pt idx="225">
                  <c:v>3.9999360961993384E-3</c:v>
                </c:pt>
                <c:pt idx="226">
                  <c:v>3.9894334742718645E-3</c:v>
                </c:pt>
                <c:pt idx="227">
                  <c:v>3.978822845842553E-3</c:v>
                </c:pt>
                <c:pt idx="228">
                  <c:v>3.9681022974648959E-3</c:v>
                </c:pt>
                <c:pt idx="229">
                  <c:v>3.9572698496866641E-3</c:v>
                </c:pt>
                <c:pt idx="230">
                  <c:v>3.9463234538194072E-3</c:v>
                </c:pt>
                <c:pt idx="231">
                  <c:v>3.9352609885006176E-3</c:v>
                </c:pt>
                <c:pt idx="232">
                  <c:v>3.9240802560320063E-3</c:v>
                </c:pt>
                <c:pt idx="233">
                  <c:v>3.9127789784757982E-3</c:v>
                </c:pt>
                <c:pt idx="234">
                  <c:v>3.9013547934891556E-3</c:v>
                </c:pt>
                <c:pt idx="235">
                  <c:v>3.8898052498749077E-3</c:v>
                </c:pt>
                <c:pt idx="236">
                  <c:v>3.8781278028245528E-3</c:v>
                </c:pt>
                <c:pt idx="237">
                  <c:v>3.8663198088270869E-3</c:v>
                </c:pt>
                <c:pt idx="238">
                  <c:v>3.8543785202144422E-3</c:v>
                </c:pt>
                <c:pt idx="239">
                  <c:v>3.8423010793112683E-3</c:v>
                </c:pt>
                <c:pt idx="240">
                  <c:v>3.8300845121533454E-3</c:v>
                </c:pt>
                <c:pt idx="241">
                  <c:v>3.8177257217350503E-3</c:v>
                </c:pt>
                <c:pt idx="242">
                  <c:v>3.8052214807418857E-3</c:v>
                </c:pt>
                <c:pt idx="243">
                  <c:v>3.7925684237191917E-3</c:v>
                </c:pt>
                <c:pt idx="244">
                  <c:v>3.7797630386225407E-3</c:v>
                </c:pt>
                <c:pt idx="245">
                  <c:v>3.7668016576889816E-3</c:v>
                </c:pt>
                <c:pt idx="246">
                  <c:v>3.7536804475610816E-3</c:v>
                </c:pt>
                <c:pt idx="247">
                  <c:v>3.7403953985875207E-3</c:v>
                </c:pt>
                <c:pt idx="248">
                  <c:v>3.7269423132145854E-3</c:v>
                </c:pt>
                <c:pt idx="249">
                  <c:v>3.7133167933721908E-3</c:v>
                </c:pt>
                <c:pt idx="250">
                  <c:v>3.6995142267457252E-3</c:v>
                </c:pt>
                <c:pt idx="251">
                  <c:v>3.6855297718108304E-3</c:v>
                </c:pt>
                <c:pt idx="252">
                  <c:v>3.6713583414918838E-3</c:v>
                </c:pt>
                <c:pt idx="253">
                  <c:v>3.6569945852859931E-3</c:v>
                </c:pt>
                <c:pt idx="254">
                  <c:v>3.6424328696723928E-3</c:v>
                </c:pt>
                <c:pt idx="255">
                  <c:v>3.6276672566015349E-3</c:v>
                </c:pt>
                <c:pt idx="256">
                  <c:v>3.6126914798283553E-3</c:v>
                </c:pt>
                <c:pt idx="257">
                  <c:v>3.5974989188192362E-3</c:v>
                </c:pt>
                <c:pt idx="258">
                  <c:v>3.5820825699211145E-3</c:v>
                </c:pt>
                <c:pt idx="259">
                  <c:v>3.5664350144327265E-3</c:v>
                </c:pt>
                <c:pt idx="260">
                  <c:v>3.5505483831606332E-3</c:v>
                </c:pt>
                <c:pt idx="261">
                  <c:v>3.5344143169744732E-3</c:v>
                </c:pt>
                <c:pt idx="262">
                  <c:v>3.5180239227945477E-3</c:v>
                </c:pt>
                <c:pt idx="263">
                  <c:v>3.5013677243472788E-3</c:v>
                </c:pt>
                <c:pt idx="264">
                  <c:v>3.4844356069067125E-3</c:v>
                </c:pt>
                <c:pt idx="265">
                  <c:v>3.4672167550981398E-3</c:v>
                </c:pt>
                <c:pt idx="266">
                  <c:v>3.4496995826672461E-3</c:v>
                </c:pt>
                <c:pt idx="267">
                  <c:v>3.4318716529071233E-3</c:v>
                </c:pt>
                <c:pt idx="268">
                  <c:v>3.413719588176079E-3</c:v>
                </c:pt>
                <c:pt idx="269">
                  <c:v>3.3952289666185275E-3</c:v>
                </c:pt>
                <c:pt idx="270">
                  <c:v>3.3763842038023423E-3</c:v>
                </c:pt>
                <c:pt idx="271">
                  <c:v>3.3571684164866106E-3</c:v>
                </c:pt>
                <c:pt idx="272">
                  <c:v>3.3375632651039618E-3</c:v>
                </c:pt>
                <c:pt idx="273">
                  <c:v>3.3175487707415808E-3</c:v>
                </c:pt>
                <c:pt idx="274">
                  <c:v>3.297103101380591E-3</c:v>
                </c:pt>
                <c:pt idx="275">
                  <c:v>3.2762023208304661E-3</c:v>
                </c:pt>
                <c:pt idx="276">
                  <c:v>3.2548200920709609E-3</c:v>
                </c:pt>
                <c:pt idx="277">
                  <c:v>3.2329273244448863E-3</c:v>
                </c:pt>
                <c:pt idx="278">
                  <c:v>3.2104917511271238E-3</c:v>
                </c:pt>
                <c:pt idx="279">
                  <c:v>3.1874774192353897E-3</c:v>
                </c:pt>
                <c:pt idx="280">
                  <c:v>3.1638440694189032E-3</c:v>
                </c:pt>
                <c:pt idx="281">
                  <c:v>3.1395463741286608E-3</c:v>
                </c:pt>
                <c:pt idx="282">
                  <c:v>3.1145329930817359E-3</c:v>
                </c:pt>
                <c:pt idx="283">
                  <c:v>3.0887453892135745E-3</c:v>
                </c:pt>
                <c:pt idx="284">
                  <c:v>3.0621163263622633E-3</c:v>
                </c:pt>
                <c:pt idx="285">
                  <c:v>3.034567937348191E-3</c:v>
                </c:pt>
                <c:pt idx="286">
                  <c:v>3.0060092019091114E-3</c:v>
                </c:pt>
                <c:pt idx="287">
                  <c:v>2.9763325978026008E-3</c:v>
                </c:pt>
                <c:pt idx="288">
                  <c:v>2.9454095672382806E-3</c:v>
                </c:pt>
                <c:pt idx="289">
                  <c:v>2.9130842418970842E-3</c:v>
                </c:pt>
                <c:pt idx="290">
                  <c:v>2.8791645312063745E-3</c:v>
                </c:pt>
                <c:pt idx="291">
                  <c:v>2.8434090774289707E-3</c:v>
                </c:pt>
                <c:pt idx="292">
                  <c:v>2.8055074597511317E-3</c:v>
                </c:pt>
                <c:pt idx="293">
                  <c:v>2.7650488097331763E-3</c:v>
                </c:pt>
                <c:pt idx="294">
                  <c:v>2.7214692755085246E-3</c:v>
                </c:pt>
                <c:pt idx="295">
                  <c:v>2.6739577554953913E-3</c:v>
                </c:pt>
                <c:pt idx="296">
                  <c:v>2.6212704036439266E-3</c:v>
                </c:pt>
                <c:pt idx="297">
                  <c:v>2.5613151115545449E-3</c:v>
                </c:pt>
                <c:pt idx="298">
                  <c:v>2.490016070528552E-3</c:v>
                </c:pt>
                <c:pt idx="299">
                  <c:v>2.3968602003374205E-3</c:v>
                </c:pt>
                <c:pt idx="300">
                  <c:v>2.171318990437598E-3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7943040"/>
        <c:axId val="127944576"/>
      </c:scatterChart>
      <c:valAx>
        <c:axId val="1279430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944576"/>
        <c:crosses val="autoZero"/>
        <c:crossBetween val="midCat"/>
      </c:valAx>
      <c:valAx>
        <c:axId val="127944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94304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8406455784577571E-2"/>
          <c:y val="3.5599438481927821E-2"/>
          <c:w val="0.91729883396394674"/>
          <c:h val="0.87825608722366988"/>
        </c:manualLayout>
      </c:layout>
      <c:scatterChart>
        <c:scatterStyle val="lineMarker"/>
        <c:varyColors val="0"/>
        <c:ser>
          <c:idx val="0"/>
          <c:order val="0"/>
          <c:tx>
            <c:strRef>
              <c:f>'9x9e'!$AC$14</c:f>
              <c:strCache>
                <c:ptCount val="1"/>
                <c:pt idx="0">
                  <c:v>Ct@1000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'9x9e'!$T$18:$T$47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0.61</c:v>
                </c:pt>
                <c:pt idx="15">
                  <c:v>0.65</c:v>
                </c:pt>
                <c:pt idx="16">
                  <c:v>0.69</c:v>
                </c:pt>
                <c:pt idx="17">
                  <c:v>0.74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'9x9e'!$V$18:$V$47</c:f>
              <c:numCache>
                <c:formatCode>General</c:formatCode>
                <c:ptCount val="30"/>
                <c:pt idx="0">
                  <c:v>0.1321</c:v>
                </c:pt>
                <c:pt idx="1">
                  <c:v>0.1323</c:v>
                </c:pt>
                <c:pt idx="2">
                  <c:v>0.13239999999999999</c:v>
                </c:pt>
                <c:pt idx="3">
                  <c:v>0.1326</c:v>
                </c:pt>
                <c:pt idx="4">
                  <c:v>0.13270000000000001</c:v>
                </c:pt>
                <c:pt idx="5">
                  <c:v>0.1328</c:v>
                </c:pt>
                <c:pt idx="6">
                  <c:v>0.1328</c:v>
                </c:pt>
                <c:pt idx="7">
                  <c:v>0.13270000000000001</c:v>
                </c:pt>
                <c:pt idx="8">
                  <c:v>0.1326</c:v>
                </c:pt>
                <c:pt idx="9">
                  <c:v>0.1323</c:v>
                </c:pt>
                <c:pt idx="10">
                  <c:v>0.1318</c:v>
                </c:pt>
                <c:pt idx="11">
                  <c:v>0.13089999999999999</c:v>
                </c:pt>
                <c:pt idx="12">
                  <c:v>0.12939999999999999</c:v>
                </c:pt>
                <c:pt idx="13">
                  <c:v>0.12659999999999999</c:v>
                </c:pt>
                <c:pt idx="14">
                  <c:v>0.1226</c:v>
                </c:pt>
                <c:pt idx="15">
                  <c:v>0.1176</c:v>
                </c:pt>
                <c:pt idx="16">
                  <c:v>0.1118</c:v>
                </c:pt>
                <c:pt idx="17">
                  <c:v>0.10489999999999999</c:v>
                </c:pt>
                <c:pt idx="18">
                  <c:v>9.7000000000000003E-2</c:v>
                </c:pt>
                <c:pt idx="19">
                  <c:v>8.8999999999999996E-2</c:v>
                </c:pt>
                <c:pt idx="20">
                  <c:v>8.0799999999999997E-2</c:v>
                </c:pt>
                <c:pt idx="21">
                  <c:v>7.2599999999999998E-2</c:v>
                </c:pt>
                <c:pt idx="22">
                  <c:v>6.4100000000000004E-2</c:v>
                </c:pt>
                <c:pt idx="23">
                  <c:v>5.5500000000000001E-2</c:v>
                </c:pt>
                <c:pt idx="24">
                  <c:v>4.6600000000000003E-2</c:v>
                </c:pt>
                <c:pt idx="25">
                  <c:v>3.7499999999999999E-2</c:v>
                </c:pt>
                <c:pt idx="26">
                  <c:v>2.8299999999999999E-2</c:v>
                </c:pt>
                <c:pt idx="27">
                  <c:v>1.9E-2</c:v>
                </c:pt>
                <c:pt idx="28">
                  <c:v>9.5999999999999992E-3</c:v>
                </c:pt>
                <c:pt idx="29">
                  <c:v>0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'9x9e'!$AC$51</c:f>
              <c:strCache>
                <c:ptCount val="1"/>
                <c:pt idx="0">
                  <c:v>Ct@2000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'9x9e'!$T$55:$T$84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0.61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'9x9e'!$V$55:$V$84</c:f>
              <c:numCache>
                <c:formatCode>General</c:formatCode>
                <c:ptCount val="30"/>
                <c:pt idx="0">
                  <c:v>0.1321</c:v>
                </c:pt>
                <c:pt idx="1">
                  <c:v>0.1323</c:v>
                </c:pt>
                <c:pt idx="2">
                  <c:v>0.13250000000000001</c:v>
                </c:pt>
                <c:pt idx="3">
                  <c:v>0.13270000000000001</c:v>
                </c:pt>
                <c:pt idx="4">
                  <c:v>0.1328</c:v>
                </c:pt>
                <c:pt idx="5">
                  <c:v>0.13289999999999999</c:v>
                </c:pt>
                <c:pt idx="6">
                  <c:v>0.13289999999999999</c:v>
                </c:pt>
                <c:pt idx="7">
                  <c:v>0.1328</c:v>
                </c:pt>
                <c:pt idx="8">
                  <c:v>0.13270000000000001</c:v>
                </c:pt>
                <c:pt idx="9">
                  <c:v>0.13239999999999999</c:v>
                </c:pt>
                <c:pt idx="10">
                  <c:v>0.13189999999999999</c:v>
                </c:pt>
                <c:pt idx="11">
                  <c:v>0.13100000000000001</c:v>
                </c:pt>
                <c:pt idx="12">
                  <c:v>0.1295</c:v>
                </c:pt>
                <c:pt idx="13">
                  <c:v>0.12670000000000001</c:v>
                </c:pt>
                <c:pt idx="14">
                  <c:v>0.12280000000000001</c:v>
                </c:pt>
                <c:pt idx="15">
                  <c:v>0.1178</c:v>
                </c:pt>
                <c:pt idx="16">
                  <c:v>0.1119</c:v>
                </c:pt>
                <c:pt idx="17">
                  <c:v>0.1051</c:v>
                </c:pt>
                <c:pt idx="18">
                  <c:v>9.7199999999999995E-2</c:v>
                </c:pt>
                <c:pt idx="19">
                  <c:v>8.9200000000000002E-2</c:v>
                </c:pt>
                <c:pt idx="20">
                  <c:v>8.1000000000000003E-2</c:v>
                </c:pt>
                <c:pt idx="21">
                  <c:v>7.2800000000000004E-2</c:v>
                </c:pt>
                <c:pt idx="22">
                  <c:v>6.4299999999999996E-2</c:v>
                </c:pt>
                <c:pt idx="23">
                  <c:v>5.57E-2</c:v>
                </c:pt>
                <c:pt idx="24">
                  <c:v>4.6800000000000001E-2</c:v>
                </c:pt>
                <c:pt idx="25">
                  <c:v>3.7699999999999997E-2</c:v>
                </c:pt>
                <c:pt idx="26">
                  <c:v>2.8400000000000002E-2</c:v>
                </c:pt>
                <c:pt idx="27">
                  <c:v>1.9099999999999999E-2</c:v>
                </c:pt>
                <c:pt idx="28">
                  <c:v>9.5999999999999992E-3</c:v>
                </c:pt>
                <c:pt idx="29">
                  <c:v>0</c:v>
                </c:pt>
              </c:numCache>
            </c:numRef>
          </c:yVal>
          <c:smooth val="0"/>
        </c:ser>
        <c:ser>
          <c:idx val="2"/>
          <c:order val="2"/>
          <c:tx>
            <c:strRef>
              <c:f>'9x9e'!$AC$88</c:f>
              <c:strCache>
                <c:ptCount val="1"/>
                <c:pt idx="0">
                  <c:v>Ct@3000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'9x9e'!$T$92:$T$121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'9x9e'!$V$92:$V$121</c:f>
              <c:numCache>
                <c:formatCode>General</c:formatCode>
                <c:ptCount val="30"/>
                <c:pt idx="0">
                  <c:v>0.1321</c:v>
                </c:pt>
                <c:pt idx="1">
                  <c:v>0.1323</c:v>
                </c:pt>
                <c:pt idx="2">
                  <c:v>0.13250000000000001</c:v>
                </c:pt>
                <c:pt idx="3">
                  <c:v>0.1326</c:v>
                </c:pt>
                <c:pt idx="4">
                  <c:v>0.1328</c:v>
                </c:pt>
                <c:pt idx="5">
                  <c:v>0.1328</c:v>
                </c:pt>
                <c:pt idx="6">
                  <c:v>0.13289999999999999</c:v>
                </c:pt>
                <c:pt idx="7">
                  <c:v>0.1328</c:v>
                </c:pt>
                <c:pt idx="8">
                  <c:v>0.1326</c:v>
                </c:pt>
                <c:pt idx="9">
                  <c:v>0.1323</c:v>
                </c:pt>
                <c:pt idx="10">
                  <c:v>0.1318</c:v>
                </c:pt>
                <c:pt idx="11">
                  <c:v>0.13100000000000001</c:v>
                </c:pt>
                <c:pt idx="12">
                  <c:v>0.1295</c:v>
                </c:pt>
                <c:pt idx="13">
                  <c:v>0.12659999999999999</c:v>
                </c:pt>
                <c:pt idx="14">
                  <c:v>0.1227</c:v>
                </c:pt>
                <c:pt idx="15">
                  <c:v>0.1177</c:v>
                </c:pt>
                <c:pt idx="16">
                  <c:v>0.1119</c:v>
                </c:pt>
                <c:pt idx="17">
                  <c:v>0.1051</c:v>
                </c:pt>
                <c:pt idx="18">
                  <c:v>9.7199999999999995E-2</c:v>
                </c:pt>
                <c:pt idx="19">
                  <c:v>8.9200000000000002E-2</c:v>
                </c:pt>
                <c:pt idx="20">
                  <c:v>8.1100000000000005E-2</c:v>
                </c:pt>
                <c:pt idx="21">
                  <c:v>7.2900000000000006E-2</c:v>
                </c:pt>
                <c:pt idx="22">
                  <c:v>6.4500000000000002E-2</c:v>
                </c:pt>
                <c:pt idx="23">
                  <c:v>5.5899999999999998E-2</c:v>
                </c:pt>
                <c:pt idx="24">
                  <c:v>4.7E-2</c:v>
                </c:pt>
                <c:pt idx="25">
                  <c:v>3.7900000000000003E-2</c:v>
                </c:pt>
                <c:pt idx="26">
                  <c:v>2.8500000000000001E-2</c:v>
                </c:pt>
                <c:pt idx="27">
                  <c:v>1.9099999999999999E-2</c:v>
                </c:pt>
                <c:pt idx="28">
                  <c:v>9.5999999999999992E-3</c:v>
                </c:pt>
                <c:pt idx="29">
                  <c:v>0</c:v>
                </c:pt>
              </c:numCache>
            </c:numRef>
          </c:yVal>
          <c:smooth val="0"/>
        </c:ser>
        <c:ser>
          <c:idx val="3"/>
          <c:order val="3"/>
          <c:tx>
            <c:strRef>
              <c:f>'9x9e'!$AC$125</c:f>
              <c:strCache>
                <c:ptCount val="1"/>
                <c:pt idx="0">
                  <c:v>Ct@4000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'9x9e'!$T$129:$T$158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'9x9e'!$V$129:$V$158</c:f>
              <c:numCache>
                <c:formatCode>General</c:formatCode>
                <c:ptCount val="30"/>
                <c:pt idx="0">
                  <c:v>0.1321</c:v>
                </c:pt>
                <c:pt idx="1">
                  <c:v>0.1323</c:v>
                </c:pt>
                <c:pt idx="2">
                  <c:v>0.13250000000000001</c:v>
                </c:pt>
                <c:pt idx="3">
                  <c:v>0.13270000000000001</c:v>
                </c:pt>
                <c:pt idx="4">
                  <c:v>0.1328</c:v>
                </c:pt>
                <c:pt idx="5">
                  <c:v>0.13289999999999999</c:v>
                </c:pt>
                <c:pt idx="6">
                  <c:v>0.13289999999999999</c:v>
                </c:pt>
                <c:pt idx="7">
                  <c:v>0.1328</c:v>
                </c:pt>
                <c:pt idx="8">
                  <c:v>0.13270000000000001</c:v>
                </c:pt>
                <c:pt idx="9">
                  <c:v>0.13239999999999999</c:v>
                </c:pt>
                <c:pt idx="10">
                  <c:v>0.13189999999999999</c:v>
                </c:pt>
                <c:pt idx="11">
                  <c:v>0.13109999999999999</c:v>
                </c:pt>
                <c:pt idx="12">
                  <c:v>0.12959999999999999</c:v>
                </c:pt>
                <c:pt idx="13">
                  <c:v>0.1268</c:v>
                </c:pt>
                <c:pt idx="14">
                  <c:v>0.1229</c:v>
                </c:pt>
                <c:pt idx="15">
                  <c:v>0.1179</c:v>
                </c:pt>
                <c:pt idx="16">
                  <c:v>0.11210000000000001</c:v>
                </c:pt>
                <c:pt idx="17">
                  <c:v>0.1053</c:v>
                </c:pt>
                <c:pt idx="18">
                  <c:v>9.7500000000000003E-2</c:v>
                </c:pt>
                <c:pt idx="19">
                  <c:v>8.9499999999999996E-2</c:v>
                </c:pt>
                <c:pt idx="20">
                  <c:v>8.14E-2</c:v>
                </c:pt>
                <c:pt idx="21">
                  <c:v>7.3099999999999998E-2</c:v>
                </c:pt>
                <c:pt idx="22">
                  <c:v>6.4699999999999994E-2</c:v>
                </c:pt>
                <c:pt idx="23">
                  <c:v>5.6099999999999997E-2</c:v>
                </c:pt>
                <c:pt idx="24">
                  <c:v>4.7199999999999999E-2</c:v>
                </c:pt>
                <c:pt idx="25">
                  <c:v>3.8100000000000002E-2</c:v>
                </c:pt>
                <c:pt idx="26">
                  <c:v>2.87E-2</c:v>
                </c:pt>
                <c:pt idx="27">
                  <c:v>1.9300000000000001E-2</c:v>
                </c:pt>
                <c:pt idx="28">
                  <c:v>9.7000000000000003E-3</c:v>
                </c:pt>
                <c:pt idx="29">
                  <c:v>0</c:v>
                </c:pt>
              </c:numCache>
            </c:numRef>
          </c:yVal>
          <c:smooth val="0"/>
        </c:ser>
        <c:ser>
          <c:idx val="4"/>
          <c:order val="4"/>
          <c:tx>
            <c:strRef>
              <c:f>'9x9e'!$AC$162</c:f>
              <c:strCache>
                <c:ptCount val="1"/>
                <c:pt idx="0">
                  <c:v>Ct@5000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'9x9e'!$T$166:$T$195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0.47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'9x9e'!$V$166:$V$195</c:f>
              <c:numCache>
                <c:formatCode>General</c:formatCode>
                <c:ptCount val="30"/>
                <c:pt idx="0">
                  <c:v>0.1321</c:v>
                </c:pt>
                <c:pt idx="1">
                  <c:v>0.1323</c:v>
                </c:pt>
                <c:pt idx="2">
                  <c:v>0.13250000000000001</c:v>
                </c:pt>
                <c:pt idx="3">
                  <c:v>0.13270000000000001</c:v>
                </c:pt>
                <c:pt idx="4">
                  <c:v>0.1328</c:v>
                </c:pt>
                <c:pt idx="5">
                  <c:v>0.13289999999999999</c:v>
                </c:pt>
                <c:pt idx="6">
                  <c:v>0.13289999999999999</c:v>
                </c:pt>
                <c:pt idx="7">
                  <c:v>0.13289999999999999</c:v>
                </c:pt>
                <c:pt idx="8">
                  <c:v>0.1328</c:v>
                </c:pt>
                <c:pt idx="9">
                  <c:v>0.13250000000000001</c:v>
                </c:pt>
                <c:pt idx="10">
                  <c:v>0.13200000000000001</c:v>
                </c:pt>
                <c:pt idx="11">
                  <c:v>0.13120000000000001</c:v>
                </c:pt>
                <c:pt idx="12">
                  <c:v>0.1298</c:v>
                </c:pt>
                <c:pt idx="13">
                  <c:v>0.12709999999999999</c:v>
                </c:pt>
                <c:pt idx="14">
                  <c:v>0.1231</c:v>
                </c:pt>
                <c:pt idx="15">
                  <c:v>0.1182</c:v>
                </c:pt>
                <c:pt idx="16">
                  <c:v>0.1124</c:v>
                </c:pt>
                <c:pt idx="17">
                  <c:v>0.1056</c:v>
                </c:pt>
                <c:pt idx="18">
                  <c:v>9.7699999999999995E-2</c:v>
                </c:pt>
                <c:pt idx="19">
                  <c:v>8.9700000000000002E-2</c:v>
                </c:pt>
                <c:pt idx="20">
                  <c:v>8.1600000000000006E-2</c:v>
                </c:pt>
                <c:pt idx="21">
                  <c:v>7.3300000000000004E-2</c:v>
                </c:pt>
                <c:pt idx="22">
                  <c:v>6.4899999999999999E-2</c:v>
                </c:pt>
                <c:pt idx="23">
                  <c:v>5.6300000000000003E-2</c:v>
                </c:pt>
                <c:pt idx="24">
                  <c:v>4.7399999999999998E-2</c:v>
                </c:pt>
                <c:pt idx="25">
                  <c:v>3.8199999999999998E-2</c:v>
                </c:pt>
                <c:pt idx="26">
                  <c:v>2.8899999999999999E-2</c:v>
                </c:pt>
                <c:pt idx="27">
                  <c:v>1.9400000000000001E-2</c:v>
                </c:pt>
                <c:pt idx="28">
                  <c:v>9.7000000000000003E-3</c:v>
                </c:pt>
                <c:pt idx="29">
                  <c:v>0</c:v>
                </c:pt>
              </c:numCache>
            </c:numRef>
          </c:yVal>
          <c:smooth val="0"/>
        </c:ser>
        <c:ser>
          <c:idx val="5"/>
          <c:order val="5"/>
          <c:tx>
            <c:strRef>
              <c:f>'9x9e'!$AC$199</c:f>
              <c:strCache>
                <c:ptCount val="1"/>
                <c:pt idx="0">
                  <c:v>Ct@6000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'9x9e'!$T$203:$T$232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0.47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'9x9e'!$V$203:$V$232</c:f>
              <c:numCache>
                <c:formatCode>General</c:formatCode>
                <c:ptCount val="30"/>
                <c:pt idx="0">
                  <c:v>0.13200000000000001</c:v>
                </c:pt>
                <c:pt idx="1">
                  <c:v>0.13220000000000001</c:v>
                </c:pt>
                <c:pt idx="2">
                  <c:v>0.13239999999999999</c:v>
                </c:pt>
                <c:pt idx="3">
                  <c:v>0.13250000000000001</c:v>
                </c:pt>
                <c:pt idx="4">
                  <c:v>0.13270000000000001</c:v>
                </c:pt>
                <c:pt idx="5">
                  <c:v>0.1328</c:v>
                </c:pt>
                <c:pt idx="6">
                  <c:v>0.1328</c:v>
                </c:pt>
                <c:pt idx="7">
                  <c:v>0.1328</c:v>
                </c:pt>
                <c:pt idx="8">
                  <c:v>0.1326</c:v>
                </c:pt>
                <c:pt idx="9">
                  <c:v>0.13239999999999999</c:v>
                </c:pt>
                <c:pt idx="10">
                  <c:v>0.13189999999999999</c:v>
                </c:pt>
                <c:pt idx="11">
                  <c:v>0.13109999999999999</c:v>
                </c:pt>
                <c:pt idx="12">
                  <c:v>0.12970000000000001</c:v>
                </c:pt>
                <c:pt idx="13">
                  <c:v>0.12709999999999999</c:v>
                </c:pt>
                <c:pt idx="14">
                  <c:v>0.1232</c:v>
                </c:pt>
                <c:pt idx="15">
                  <c:v>0.1183</c:v>
                </c:pt>
                <c:pt idx="16">
                  <c:v>0.1125</c:v>
                </c:pt>
                <c:pt idx="17">
                  <c:v>0.1057</c:v>
                </c:pt>
                <c:pt idx="18">
                  <c:v>9.7799999999999998E-2</c:v>
                </c:pt>
                <c:pt idx="19">
                  <c:v>8.9800000000000005E-2</c:v>
                </c:pt>
                <c:pt idx="20">
                  <c:v>8.1600000000000006E-2</c:v>
                </c:pt>
                <c:pt idx="21">
                  <c:v>7.3400000000000007E-2</c:v>
                </c:pt>
                <c:pt idx="22">
                  <c:v>6.4899999999999999E-2</c:v>
                </c:pt>
                <c:pt idx="23">
                  <c:v>5.62E-2</c:v>
                </c:pt>
                <c:pt idx="24">
                  <c:v>4.7300000000000002E-2</c:v>
                </c:pt>
                <c:pt idx="25">
                  <c:v>3.8199999999999998E-2</c:v>
                </c:pt>
                <c:pt idx="26">
                  <c:v>2.8899999999999999E-2</c:v>
                </c:pt>
                <c:pt idx="27">
                  <c:v>1.9400000000000001E-2</c:v>
                </c:pt>
                <c:pt idx="28">
                  <c:v>9.7999999999999997E-3</c:v>
                </c:pt>
                <c:pt idx="29">
                  <c:v>0</c:v>
                </c:pt>
              </c:numCache>
            </c:numRef>
          </c:yVal>
          <c:smooth val="0"/>
        </c:ser>
        <c:ser>
          <c:idx val="6"/>
          <c:order val="6"/>
          <c:tx>
            <c:strRef>
              <c:f>'9x9e'!$AC$236</c:f>
              <c:strCache>
                <c:ptCount val="1"/>
                <c:pt idx="0">
                  <c:v>Ct@7000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'9x9e'!$T$240:$T$269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0.47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'9x9e'!$V$240:$V$269</c:f>
              <c:numCache>
                <c:formatCode>General</c:formatCode>
                <c:ptCount val="30"/>
                <c:pt idx="0">
                  <c:v>0.13159999999999999</c:v>
                </c:pt>
                <c:pt idx="1">
                  <c:v>0.13170000000000001</c:v>
                </c:pt>
                <c:pt idx="2">
                  <c:v>0.13200000000000001</c:v>
                </c:pt>
                <c:pt idx="3">
                  <c:v>0.1321</c:v>
                </c:pt>
                <c:pt idx="4">
                  <c:v>0.1323</c:v>
                </c:pt>
                <c:pt idx="5">
                  <c:v>0.13239999999999999</c:v>
                </c:pt>
                <c:pt idx="6">
                  <c:v>0.13239999999999999</c:v>
                </c:pt>
                <c:pt idx="7">
                  <c:v>0.13239999999999999</c:v>
                </c:pt>
                <c:pt idx="8">
                  <c:v>0.1323</c:v>
                </c:pt>
                <c:pt idx="9">
                  <c:v>0.1321</c:v>
                </c:pt>
                <c:pt idx="10">
                  <c:v>0.13170000000000001</c:v>
                </c:pt>
                <c:pt idx="11">
                  <c:v>0.13100000000000001</c:v>
                </c:pt>
                <c:pt idx="12">
                  <c:v>0.12970000000000001</c:v>
                </c:pt>
                <c:pt idx="13">
                  <c:v>0.12709999999999999</c:v>
                </c:pt>
                <c:pt idx="14">
                  <c:v>0.12330000000000001</c:v>
                </c:pt>
                <c:pt idx="15">
                  <c:v>0.11849999999999999</c:v>
                </c:pt>
                <c:pt idx="16">
                  <c:v>0.11269999999999999</c:v>
                </c:pt>
                <c:pt idx="17">
                  <c:v>0.106</c:v>
                </c:pt>
                <c:pt idx="18">
                  <c:v>9.8100000000000007E-2</c:v>
                </c:pt>
                <c:pt idx="19">
                  <c:v>0.09</c:v>
                </c:pt>
                <c:pt idx="20">
                  <c:v>8.1799999999999998E-2</c:v>
                </c:pt>
                <c:pt idx="21">
                  <c:v>7.3499999999999996E-2</c:v>
                </c:pt>
                <c:pt idx="22">
                  <c:v>6.4899999999999999E-2</c:v>
                </c:pt>
                <c:pt idx="23">
                  <c:v>5.62E-2</c:v>
                </c:pt>
                <c:pt idx="24">
                  <c:v>4.7300000000000002E-2</c:v>
                </c:pt>
                <c:pt idx="25">
                  <c:v>3.8199999999999998E-2</c:v>
                </c:pt>
                <c:pt idx="26">
                  <c:v>2.8899999999999999E-2</c:v>
                </c:pt>
                <c:pt idx="27">
                  <c:v>1.9400000000000001E-2</c:v>
                </c:pt>
                <c:pt idx="28">
                  <c:v>9.7999999999999997E-3</c:v>
                </c:pt>
                <c:pt idx="29">
                  <c:v>0</c:v>
                </c:pt>
              </c:numCache>
            </c:numRef>
          </c:yVal>
          <c:smooth val="0"/>
        </c:ser>
        <c:ser>
          <c:idx val="7"/>
          <c:order val="7"/>
          <c:tx>
            <c:strRef>
              <c:f>'9x9e'!$AC$273</c:f>
              <c:strCache>
                <c:ptCount val="1"/>
                <c:pt idx="0">
                  <c:v>Ct@8000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'9x9e'!$T$277:$T$306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0.47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1.1599999999999999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'9x9e'!$V$277:$V$306</c:f>
              <c:numCache>
                <c:formatCode>General</c:formatCode>
                <c:ptCount val="30"/>
                <c:pt idx="0">
                  <c:v>0.13120000000000001</c:v>
                </c:pt>
                <c:pt idx="1">
                  <c:v>0.13139999999999999</c:v>
                </c:pt>
                <c:pt idx="2">
                  <c:v>0.13159999999999999</c:v>
                </c:pt>
                <c:pt idx="3">
                  <c:v>0.1318</c:v>
                </c:pt>
                <c:pt idx="4">
                  <c:v>0.13189999999999999</c:v>
                </c:pt>
                <c:pt idx="5">
                  <c:v>0.13200000000000001</c:v>
                </c:pt>
                <c:pt idx="6">
                  <c:v>0.1321</c:v>
                </c:pt>
                <c:pt idx="7">
                  <c:v>0.1321</c:v>
                </c:pt>
                <c:pt idx="8">
                  <c:v>0.13200000000000001</c:v>
                </c:pt>
                <c:pt idx="9">
                  <c:v>0.1318</c:v>
                </c:pt>
                <c:pt idx="10">
                  <c:v>0.13150000000000001</c:v>
                </c:pt>
                <c:pt idx="11">
                  <c:v>0.1308</c:v>
                </c:pt>
                <c:pt idx="12">
                  <c:v>0.12959999999999999</c:v>
                </c:pt>
                <c:pt idx="13">
                  <c:v>0.12720000000000001</c:v>
                </c:pt>
                <c:pt idx="14">
                  <c:v>0.1235</c:v>
                </c:pt>
                <c:pt idx="15">
                  <c:v>0.1187</c:v>
                </c:pt>
                <c:pt idx="16">
                  <c:v>0.1129</c:v>
                </c:pt>
                <c:pt idx="17">
                  <c:v>0.1062</c:v>
                </c:pt>
                <c:pt idx="18">
                  <c:v>9.8299999999999998E-2</c:v>
                </c:pt>
                <c:pt idx="19">
                  <c:v>9.0300000000000005E-2</c:v>
                </c:pt>
                <c:pt idx="20">
                  <c:v>8.2000000000000003E-2</c:v>
                </c:pt>
                <c:pt idx="21">
                  <c:v>7.3599999999999999E-2</c:v>
                </c:pt>
                <c:pt idx="22">
                  <c:v>6.5100000000000005E-2</c:v>
                </c:pt>
                <c:pt idx="23">
                  <c:v>5.6300000000000003E-2</c:v>
                </c:pt>
                <c:pt idx="24">
                  <c:v>4.7399999999999998E-2</c:v>
                </c:pt>
                <c:pt idx="25">
                  <c:v>3.8300000000000001E-2</c:v>
                </c:pt>
                <c:pt idx="26">
                  <c:v>2.8899999999999999E-2</c:v>
                </c:pt>
                <c:pt idx="27">
                  <c:v>1.9400000000000001E-2</c:v>
                </c:pt>
                <c:pt idx="28">
                  <c:v>9.7999999999999997E-3</c:v>
                </c:pt>
                <c:pt idx="29">
                  <c:v>0</c:v>
                </c:pt>
              </c:numCache>
            </c:numRef>
          </c:yVal>
          <c:smooth val="0"/>
        </c:ser>
        <c:ser>
          <c:idx val="8"/>
          <c:order val="8"/>
          <c:tx>
            <c:strRef>
              <c:f>'9x9e'!$AC$310</c:f>
              <c:strCache>
                <c:ptCount val="1"/>
                <c:pt idx="0">
                  <c:v>Ct@9000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'9x9e'!$T$314:$T$343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0.34</c:v>
                </c:pt>
                <c:pt idx="9">
                  <c:v>0.39</c:v>
                </c:pt>
                <c:pt idx="10">
                  <c:v>0.43</c:v>
                </c:pt>
                <c:pt idx="11">
                  <c:v>0.47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1.03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1.1599999999999999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'9x9e'!$V$314:$V$343</c:f>
              <c:numCache>
                <c:formatCode>General</c:formatCode>
                <c:ptCount val="30"/>
                <c:pt idx="0">
                  <c:v>0.13089999999999999</c:v>
                </c:pt>
                <c:pt idx="1">
                  <c:v>0.13109999999999999</c:v>
                </c:pt>
                <c:pt idx="2">
                  <c:v>0.1313</c:v>
                </c:pt>
                <c:pt idx="3">
                  <c:v>0.13150000000000001</c:v>
                </c:pt>
                <c:pt idx="4">
                  <c:v>0.13159999999999999</c:v>
                </c:pt>
                <c:pt idx="5">
                  <c:v>0.1318</c:v>
                </c:pt>
                <c:pt idx="6">
                  <c:v>0.13189999999999999</c:v>
                </c:pt>
                <c:pt idx="7">
                  <c:v>0.13200000000000001</c:v>
                </c:pt>
                <c:pt idx="8">
                  <c:v>0.13189999999999999</c:v>
                </c:pt>
                <c:pt idx="9">
                  <c:v>0.1318</c:v>
                </c:pt>
                <c:pt idx="10">
                  <c:v>0.13150000000000001</c:v>
                </c:pt>
                <c:pt idx="11">
                  <c:v>0.13089999999999999</c:v>
                </c:pt>
                <c:pt idx="12">
                  <c:v>0.12989999999999999</c:v>
                </c:pt>
                <c:pt idx="13">
                  <c:v>0.12759999999999999</c:v>
                </c:pt>
                <c:pt idx="14">
                  <c:v>0.1239</c:v>
                </c:pt>
                <c:pt idx="15">
                  <c:v>0.1192</c:v>
                </c:pt>
                <c:pt idx="16">
                  <c:v>0.1135</c:v>
                </c:pt>
                <c:pt idx="17">
                  <c:v>0.1069</c:v>
                </c:pt>
                <c:pt idx="18">
                  <c:v>9.9000000000000005E-2</c:v>
                </c:pt>
                <c:pt idx="19">
                  <c:v>9.0899999999999995E-2</c:v>
                </c:pt>
                <c:pt idx="20">
                  <c:v>8.2600000000000007E-2</c:v>
                </c:pt>
                <c:pt idx="21">
                  <c:v>7.4099999999999999E-2</c:v>
                </c:pt>
                <c:pt idx="22">
                  <c:v>6.54E-2</c:v>
                </c:pt>
                <c:pt idx="23">
                  <c:v>5.6599999999999998E-2</c:v>
                </c:pt>
                <c:pt idx="24">
                  <c:v>4.7600000000000003E-2</c:v>
                </c:pt>
                <c:pt idx="25">
                  <c:v>3.85E-2</c:v>
                </c:pt>
                <c:pt idx="26">
                  <c:v>2.9100000000000001E-2</c:v>
                </c:pt>
                <c:pt idx="27">
                  <c:v>1.95E-2</c:v>
                </c:pt>
                <c:pt idx="28">
                  <c:v>9.7999999999999997E-3</c:v>
                </c:pt>
                <c:pt idx="29">
                  <c:v>0</c:v>
                </c:pt>
              </c:numCache>
            </c:numRef>
          </c:yVal>
          <c:smooth val="0"/>
        </c:ser>
        <c:ser>
          <c:idx val="9"/>
          <c:order val="9"/>
          <c:tx>
            <c:strRef>
              <c:f>'9x9e'!$AC$347</c:f>
              <c:strCache>
                <c:ptCount val="1"/>
                <c:pt idx="0">
                  <c:v>Ct@10000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>
                    <a:lumMod val="60000"/>
                  </a:schemeClr>
                </a:solidFill>
                <a:prstDash val="sysDot"/>
              </a:ln>
              <a:effectLst/>
            </c:spPr>
            <c:trendlineType val="poly"/>
            <c:order val="4"/>
            <c:dispRSqr val="1"/>
            <c:dispEq val="1"/>
            <c:trendlineLbl>
              <c:layout>
                <c:manualLayout>
                  <c:x val="4.4034776902887138E-2"/>
                  <c:y val="-0.7357254335973234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'9x9e'!$T$351:$T$380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0.34</c:v>
                </c:pt>
                <c:pt idx="9">
                  <c:v>0.39</c:v>
                </c:pt>
                <c:pt idx="10">
                  <c:v>0.43</c:v>
                </c:pt>
                <c:pt idx="11">
                  <c:v>0.47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</c:v>
                </c:pt>
                <c:pt idx="22">
                  <c:v>0.95</c:v>
                </c:pt>
                <c:pt idx="23">
                  <c:v>0.99</c:v>
                </c:pt>
                <c:pt idx="24">
                  <c:v>1.03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1.1599999999999999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'9x9e'!$V$351:$V$380</c:f>
              <c:numCache>
                <c:formatCode>General</c:formatCode>
                <c:ptCount val="30"/>
                <c:pt idx="0">
                  <c:v>0.13200000000000001</c:v>
                </c:pt>
                <c:pt idx="1">
                  <c:v>0.13220000000000001</c:v>
                </c:pt>
                <c:pt idx="2">
                  <c:v>0.13239999999999999</c:v>
                </c:pt>
                <c:pt idx="3">
                  <c:v>0.13270000000000001</c:v>
                </c:pt>
                <c:pt idx="4">
                  <c:v>0.13289999999999999</c:v>
                </c:pt>
                <c:pt idx="5">
                  <c:v>0.1331</c:v>
                </c:pt>
                <c:pt idx="6">
                  <c:v>0.13320000000000001</c:v>
                </c:pt>
                <c:pt idx="7">
                  <c:v>0.1333</c:v>
                </c:pt>
                <c:pt idx="8">
                  <c:v>0.1333</c:v>
                </c:pt>
                <c:pt idx="9">
                  <c:v>0.13320000000000001</c:v>
                </c:pt>
                <c:pt idx="10">
                  <c:v>0.13289999999999999</c:v>
                </c:pt>
                <c:pt idx="11">
                  <c:v>0.1323</c:v>
                </c:pt>
                <c:pt idx="12">
                  <c:v>0.13120000000000001</c:v>
                </c:pt>
                <c:pt idx="13">
                  <c:v>0.129</c:v>
                </c:pt>
                <c:pt idx="14">
                  <c:v>0.12520000000000001</c:v>
                </c:pt>
                <c:pt idx="15">
                  <c:v>0.1203</c:v>
                </c:pt>
                <c:pt idx="16">
                  <c:v>0.1144</c:v>
                </c:pt>
                <c:pt idx="17">
                  <c:v>0.1076</c:v>
                </c:pt>
                <c:pt idx="18">
                  <c:v>9.9599999999999994E-2</c:v>
                </c:pt>
                <c:pt idx="19">
                  <c:v>9.1399999999999995E-2</c:v>
                </c:pt>
                <c:pt idx="20">
                  <c:v>8.3099999999999993E-2</c:v>
                </c:pt>
                <c:pt idx="21">
                  <c:v>7.46E-2</c:v>
                </c:pt>
                <c:pt idx="22">
                  <c:v>6.59E-2</c:v>
                </c:pt>
                <c:pt idx="23">
                  <c:v>5.7000000000000002E-2</c:v>
                </c:pt>
                <c:pt idx="24">
                  <c:v>4.7899999999999998E-2</c:v>
                </c:pt>
                <c:pt idx="25">
                  <c:v>3.8699999999999998E-2</c:v>
                </c:pt>
                <c:pt idx="26">
                  <c:v>2.92E-2</c:v>
                </c:pt>
                <c:pt idx="27">
                  <c:v>1.9599999999999999E-2</c:v>
                </c:pt>
                <c:pt idx="28">
                  <c:v>9.9000000000000008E-3</c:v>
                </c:pt>
                <c:pt idx="29">
                  <c:v>0</c:v>
                </c:pt>
              </c:numCache>
            </c:numRef>
          </c:yVal>
          <c:smooth val="0"/>
        </c:ser>
        <c:ser>
          <c:idx val="10"/>
          <c:order val="10"/>
          <c:tx>
            <c:strRef>
              <c:f>'9x9e'!$AD$14</c:f>
              <c:strCache>
                <c:ptCount val="1"/>
                <c:pt idx="0">
                  <c:v>Cp@1000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numRef>
              <c:f>'9x9e'!$T$18:$T$47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0.61</c:v>
                </c:pt>
                <c:pt idx="15">
                  <c:v>0.65</c:v>
                </c:pt>
                <c:pt idx="16">
                  <c:v>0.69</c:v>
                </c:pt>
                <c:pt idx="17">
                  <c:v>0.74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'9x9e'!$W$18:$W$47</c:f>
              <c:numCache>
                <c:formatCode>General</c:formatCode>
                <c:ptCount val="30"/>
                <c:pt idx="0">
                  <c:v>7.9299999999999995E-2</c:v>
                </c:pt>
                <c:pt idx="1">
                  <c:v>8.1100000000000005E-2</c:v>
                </c:pt>
                <c:pt idx="2">
                  <c:v>8.3099999999999993E-2</c:v>
                </c:pt>
                <c:pt idx="3">
                  <c:v>8.5099999999999995E-2</c:v>
                </c:pt>
                <c:pt idx="4">
                  <c:v>8.7300000000000003E-2</c:v>
                </c:pt>
                <c:pt idx="5">
                  <c:v>8.9399999999999993E-2</c:v>
                </c:pt>
                <c:pt idx="6">
                  <c:v>9.1700000000000004E-2</c:v>
                </c:pt>
                <c:pt idx="7">
                  <c:v>9.4100000000000003E-2</c:v>
                </c:pt>
                <c:pt idx="8">
                  <c:v>9.6500000000000002E-2</c:v>
                </c:pt>
                <c:pt idx="9">
                  <c:v>9.8900000000000002E-2</c:v>
                </c:pt>
                <c:pt idx="10">
                  <c:v>0.1013</c:v>
                </c:pt>
                <c:pt idx="11">
                  <c:v>0.10349999999999999</c:v>
                </c:pt>
                <c:pt idx="12">
                  <c:v>0.1052</c:v>
                </c:pt>
                <c:pt idx="13">
                  <c:v>0.10589999999999999</c:v>
                </c:pt>
                <c:pt idx="14">
                  <c:v>0.1057</c:v>
                </c:pt>
                <c:pt idx="15">
                  <c:v>0.1046</c:v>
                </c:pt>
                <c:pt idx="16">
                  <c:v>0.1026</c:v>
                </c:pt>
                <c:pt idx="17">
                  <c:v>9.9599999999999994E-2</c:v>
                </c:pt>
                <c:pt idx="18">
                  <c:v>9.5200000000000007E-2</c:v>
                </c:pt>
                <c:pt idx="19">
                  <c:v>9.0499999999999997E-2</c:v>
                </c:pt>
                <c:pt idx="20">
                  <c:v>8.5300000000000001E-2</c:v>
                </c:pt>
                <c:pt idx="21">
                  <c:v>7.9500000000000001E-2</c:v>
                </c:pt>
                <c:pt idx="22">
                  <c:v>7.2900000000000006E-2</c:v>
                </c:pt>
                <c:pt idx="23">
                  <c:v>6.54E-2</c:v>
                </c:pt>
                <c:pt idx="24">
                  <c:v>5.7000000000000002E-2</c:v>
                </c:pt>
                <c:pt idx="25">
                  <c:v>4.7800000000000002E-2</c:v>
                </c:pt>
                <c:pt idx="26">
                  <c:v>3.78E-2</c:v>
                </c:pt>
                <c:pt idx="27">
                  <c:v>2.7300000000000001E-2</c:v>
                </c:pt>
                <c:pt idx="28">
                  <c:v>1.6199999999999999E-2</c:v>
                </c:pt>
                <c:pt idx="29">
                  <c:v>4.7999999999999996E-3</c:v>
                </c:pt>
              </c:numCache>
            </c:numRef>
          </c:yVal>
          <c:smooth val="0"/>
        </c:ser>
        <c:ser>
          <c:idx val="11"/>
          <c:order val="11"/>
          <c:tx>
            <c:strRef>
              <c:f>'9x9e'!$AD$51</c:f>
              <c:strCache>
                <c:ptCount val="1"/>
                <c:pt idx="0">
                  <c:v>Cp@2000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numRef>
              <c:f>'9x9e'!$T$55:$T$84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0.61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'9x9e'!$W$55:$W$84</c:f>
              <c:numCache>
                <c:formatCode>General</c:formatCode>
                <c:ptCount val="30"/>
                <c:pt idx="0">
                  <c:v>7.9399999999999998E-2</c:v>
                </c:pt>
                <c:pt idx="1">
                  <c:v>8.1199999999999994E-2</c:v>
                </c:pt>
                <c:pt idx="2">
                  <c:v>8.3099999999999993E-2</c:v>
                </c:pt>
                <c:pt idx="3">
                  <c:v>8.5199999999999998E-2</c:v>
                </c:pt>
                <c:pt idx="4">
                  <c:v>8.7300000000000003E-2</c:v>
                </c:pt>
                <c:pt idx="5">
                  <c:v>8.9499999999999996E-2</c:v>
                </c:pt>
                <c:pt idx="6">
                  <c:v>9.1800000000000007E-2</c:v>
                </c:pt>
                <c:pt idx="7">
                  <c:v>9.4200000000000006E-2</c:v>
                </c:pt>
                <c:pt idx="8">
                  <c:v>9.6600000000000005E-2</c:v>
                </c:pt>
                <c:pt idx="9">
                  <c:v>9.9000000000000005E-2</c:v>
                </c:pt>
                <c:pt idx="10">
                  <c:v>0.1014</c:v>
                </c:pt>
                <c:pt idx="11">
                  <c:v>0.1036</c:v>
                </c:pt>
                <c:pt idx="12">
                  <c:v>0.1053</c:v>
                </c:pt>
                <c:pt idx="13">
                  <c:v>0.106</c:v>
                </c:pt>
                <c:pt idx="14">
                  <c:v>0.10580000000000001</c:v>
                </c:pt>
                <c:pt idx="15">
                  <c:v>0.1047</c:v>
                </c:pt>
                <c:pt idx="16">
                  <c:v>0.1027</c:v>
                </c:pt>
                <c:pt idx="17">
                  <c:v>9.9699999999999997E-2</c:v>
                </c:pt>
                <c:pt idx="18">
                  <c:v>9.5399999999999999E-2</c:v>
                </c:pt>
                <c:pt idx="19">
                  <c:v>9.0700000000000003E-2</c:v>
                </c:pt>
                <c:pt idx="20">
                  <c:v>8.5500000000000007E-2</c:v>
                </c:pt>
                <c:pt idx="21">
                  <c:v>7.9600000000000004E-2</c:v>
                </c:pt>
                <c:pt idx="22">
                  <c:v>7.2999999999999995E-2</c:v>
                </c:pt>
                <c:pt idx="23">
                  <c:v>6.5600000000000006E-2</c:v>
                </c:pt>
                <c:pt idx="24">
                  <c:v>5.7200000000000001E-2</c:v>
                </c:pt>
                <c:pt idx="25">
                  <c:v>4.7899999999999998E-2</c:v>
                </c:pt>
                <c:pt idx="26">
                  <c:v>3.7999999999999999E-2</c:v>
                </c:pt>
                <c:pt idx="27">
                  <c:v>2.7400000000000001E-2</c:v>
                </c:pt>
                <c:pt idx="28">
                  <c:v>1.61E-2</c:v>
                </c:pt>
                <c:pt idx="29">
                  <c:v>4.7999999999999996E-3</c:v>
                </c:pt>
              </c:numCache>
            </c:numRef>
          </c:yVal>
          <c:smooth val="0"/>
        </c:ser>
        <c:ser>
          <c:idx val="12"/>
          <c:order val="12"/>
          <c:tx>
            <c:strRef>
              <c:f>'9x9e'!$AD$88</c:f>
              <c:strCache>
                <c:ptCount val="1"/>
                <c:pt idx="0">
                  <c:v>Cp@3000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'9x9e'!$T$92:$T$121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'9x9e'!$W$92:$W$121</c:f>
              <c:numCache>
                <c:formatCode>General</c:formatCode>
                <c:ptCount val="30"/>
                <c:pt idx="0">
                  <c:v>7.9200000000000007E-2</c:v>
                </c:pt>
                <c:pt idx="1">
                  <c:v>8.1000000000000003E-2</c:v>
                </c:pt>
                <c:pt idx="2">
                  <c:v>8.3000000000000004E-2</c:v>
                </c:pt>
                <c:pt idx="3">
                  <c:v>8.5000000000000006E-2</c:v>
                </c:pt>
                <c:pt idx="4">
                  <c:v>8.72E-2</c:v>
                </c:pt>
                <c:pt idx="5">
                  <c:v>8.9399999999999993E-2</c:v>
                </c:pt>
                <c:pt idx="6">
                  <c:v>9.1700000000000004E-2</c:v>
                </c:pt>
                <c:pt idx="7">
                  <c:v>9.4E-2</c:v>
                </c:pt>
                <c:pt idx="8">
                  <c:v>9.64E-2</c:v>
                </c:pt>
                <c:pt idx="9">
                  <c:v>9.8900000000000002E-2</c:v>
                </c:pt>
                <c:pt idx="10">
                  <c:v>0.1013</c:v>
                </c:pt>
                <c:pt idx="11">
                  <c:v>0.10349999999999999</c:v>
                </c:pt>
                <c:pt idx="12">
                  <c:v>0.1052</c:v>
                </c:pt>
                <c:pt idx="13">
                  <c:v>0.10589999999999999</c:v>
                </c:pt>
                <c:pt idx="14">
                  <c:v>0.1057</c:v>
                </c:pt>
                <c:pt idx="15">
                  <c:v>0.1046</c:v>
                </c:pt>
                <c:pt idx="16">
                  <c:v>0.1026</c:v>
                </c:pt>
                <c:pt idx="17">
                  <c:v>9.9599999999999994E-2</c:v>
                </c:pt>
                <c:pt idx="18">
                  <c:v>9.5399999999999999E-2</c:v>
                </c:pt>
                <c:pt idx="19">
                  <c:v>9.0700000000000003E-2</c:v>
                </c:pt>
                <c:pt idx="20">
                  <c:v>8.5500000000000007E-2</c:v>
                </c:pt>
                <c:pt idx="21">
                  <c:v>7.9799999999999996E-2</c:v>
                </c:pt>
                <c:pt idx="22">
                  <c:v>7.3200000000000001E-2</c:v>
                </c:pt>
                <c:pt idx="23">
                  <c:v>6.5799999999999997E-2</c:v>
                </c:pt>
                <c:pt idx="24">
                  <c:v>5.7500000000000002E-2</c:v>
                </c:pt>
                <c:pt idx="25">
                  <c:v>4.82E-2</c:v>
                </c:pt>
                <c:pt idx="26">
                  <c:v>3.8100000000000002E-2</c:v>
                </c:pt>
                <c:pt idx="27">
                  <c:v>2.75E-2</c:v>
                </c:pt>
                <c:pt idx="28">
                  <c:v>1.6199999999999999E-2</c:v>
                </c:pt>
                <c:pt idx="29">
                  <c:v>4.8999999999999998E-3</c:v>
                </c:pt>
              </c:numCache>
            </c:numRef>
          </c:yVal>
          <c:smooth val="0"/>
        </c:ser>
        <c:ser>
          <c:idx val="13"/>
          <c:order val="13"/>
          <c:tx>
            <c:strRef>
              <c:f>'9x9e'!$AD$125</c:f>
              <c:strCache>
                <c:ptCount val="1"/>
                <c:pt idx="0">
                  <c:v>Cp@4000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  <a:lumOff val="20000"/>
                </a:schemeClr>
              </a:solidFill>
              <a:ln w="9525">
                <a:solidFill>
                  <a:schemeClr val="accent2">
                    <a:lumMod val="80000"/>
                    <a:lumOff val="2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>
                    <a:lumMod val="80000"/>
                    <a:lumOff val="20000"/>
                  </a:schemeClr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trendline>
            <c:spPr>
              <a:ln w="19050" cap="rnd">
                <a:solidFill>
                  <a:schemeClr val="accent2">
                    <a:lumMod val="80000"/>
                    <a:lumOff val="20000"/>
                  </a:schemeClr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trendline>
            <c:spPr>
              <a:ln w="19050" cap="rnd">
                <a:solidFill>
                  <a:schemeClr val="accent2">
                    <a:lumMod val="80000"/>
                    <a:lumOff val="20000"/>
                  </a:schemeClr>
                </a:solidFill>
                <a:prstDash val="sysDot"/>
              </a:ln>
              <a:effectLst/>
            </c:spPr>
            <c:trendlineType val="poly"/>
            <c:order val="4"/>
            <c:dispRSqr val="1"/>
            <c:dispEq val="1"/>
            <c:trendlineLbl>
              <c:layout>
                <c:manualLayout>
                  <c:x val="-0.2255108078227544"/>
                  <c:y val="-0.2694841994764756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'9x9e'!$T$129:$T$158</c:f>
              <c:numCache>
                <c:formatCode>General</c:formatCode>
                <c:ptCount val="30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  <c:pt idx="29">
                  <c:v>1.25</c:v>
                </c:pt>
              </c:numCache>
            </c:numRef>
          </c:xVal>
          <c:yVal>
            <c:numRef>
              <c:f>'9x9e'!$W$129:$W$158</c:f>
              <c:numCache>
                <c:formatCode>General</c:formatCode>
                <c:ptCount val="30"/>
                <c:pt idx="0">
                  <c:v>7.9299999999999995E-2</c:v>
                </c:pt>
                <c:pt idx="1">
                  <c:v>8.1100000000000005E-2</c:v>
                </c:pt>
                <c:pt idx="2">
                  <c:v>8.3099999999999993E-2</c:v>
                </c:pt>
                <c:pt idx="3">
                  <c:v>8.5099999999999995E-2</c:v>
                </c:pt>
                <c:pt idx="4">
                  <c:v>8.72E-2</c:v>
                </c:pt>
                <c:pt idx="5">
                  <c:v>8.9499999999999996E-2</c:v>
                </c:pt>
                <c:pt idx="6">
                  <c:v>9.1800000000000007E-2</c:v>
                </c:pt>
                <c:pt idx="7">
                  <c:v>9.4100000000000003E-2</c:v>
                </c:pt>
                <c:pt idx="8">
                  <c:v>9.6500000000000002E-2</c:v>
                </c:pt>
                <c:pt idx="9">
                  <c:v>9.9000000000000005E-2</c:v>
                </c:pt>
                <c:pt idx="10">
                  <c:v>0.1014</c:v>
                </c:pt>
                <c:pt idx="11">
                  <c:v>0.1036</c:v>
                </c:pt>
                <c:pt idx="12">
                  <c:v>0.1053</c:v>
                </c:pt>
                <c:pt idx="13">
                  <c:v>0.1061</c:v>
                </c:pt>
                <c:pt idx="14">
                  <c:v>0.10589999999999999</c:v>
                </c:pt>
                <c:pt idx="15">
                  <c:v>0.1048</c:v>
                </c:pt>
                <c:pt idx="16">
                  <c:v>0.1028</c:v>
                </c:pt>
                <c:pt idx="17">
                  <c:v>9.9900000000000003E-2</c:v>
                </c:pt>
                <c:pt idx="18">
                  <c:v>9.5600000000000004E-2</c:v>
                </c:pt>
                <c:pt idx="19">
                  <c:v>9.0899999999999995E-2</c:v>
                </c:pt>
                <c:pt idx="20">
                  <c:v>8.5699999999999998E-2</c:v>
                </c:pt>
                <c:pt idx="21">
                  <c:v>0.08</c:v>
                </c:pt>
                <c:pt idx="22">
                  <c:v>7.3400000000000007E-2</c:v>
                </c:pt>
                <c:pt idx="23">
                  <c:v>6.6000000000000003E-2</c:v>
                </c:pt>
                <c:pt idx="24">
                  <c:v>5.7700000000000001E-2</c:v>
                </c:pt>
                <c:pt idx="25">
                  <c:v>4.8399999999999999E-2</c:v>
                </c:pt>
                <c:pt idx="26">
                  <c:v>3.8399999999999997E-2</c:v>
                </c:pt>
                <c:pt idx="27">
                  <c:v>2.76E-2</c:v>
                </c:pt>
                <c:pt idx="28">
                  <c:v>1.6299999999999999E-2</c:v>
                </c:pt>
                <c:pt idx="29">
                  <c:v>4.7999999999999996E-3</c:v>
                </c:pt>
              </c:numCache>
            </c:numRef>
          </c:yVal>
          <c:smooth val="0"/>
        </c:ser>
        <c:ser>
          <c:idx val="14"/>
          <c:order val="14"/>
          <c:tx>
            <c:strRef>
              <c:f>'9x9e'!$AD$347</c:f>
              <c:strCache>
                <c:ptCount val="1"/>
                <c:pt idx="0">
                  <c:v>Cp@10000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  <a:lumOff val="20000"/>
                </a:schemeClr>
              </a:solidFill>
              <a:ln w="9525">
                <a:solidFill>
                  <a:schemeClr val="accent3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'9x9e'!$T$351</c:f>
              <c:numCache>
                <c:formatCode>General</c:formatCode>
                <c:ptCount val="1"/>
                <c:pt idx="0">
                  <c:v>0</c:v>
                </c:pt>
              </c:numCache>
            </c:numRef>
          </c:xVal>
          <c:yVal>
            <c:numRef>
              <c:f>'9x9e'!$W$351:$W$380</c:f>
              <c:numCache>
                <c:formatCode>General</c:formatCode>
                <c:ptCount val="30"/>
                <c:pt idx="0">
                  <c:v>7.85E-2</c:v>
                </c:pt>
                <c:pt idx="1">
                  <c:v>8.0299999999999996E-2</c:v>
                </c:pt>
                <c:pt idx="2">
                  <c:v>8.2400000000000001E-2</c:v>
                </c:pt>
                <c:pt idx="3">
                  <c:v>8.4599999999999995E-2</c:v>
                </c:pt>
                <c:pt idx="4">
                  <c:v>8.6999999999999994E-2</c:v>
                </c:pt>
                <c:pt idx="5">
                  <c:v>8.9499999999999996E-2</c:v>
                </c:pt>
                <c:pt idx="6">
                  <c:v>9.1999999999999998E-2</c:v>
                </c:pt>
                <c:pt idx="7">
                  <c:v>9.4600000000000004E-2</c:v>
                </c:pt>
                <c:pt idx="8">
                  <c:v>9.7299999999999998E-2</c:v>
                </c:pt>
                <c:pt idx="9">
                  <c:v>9.98E-2</c:v>
                </c:pt>
                <c:pt idx="10">
                  <c:v>0.1023</c:v>
                </c:pt>
                <c:pt idx="11">
                  <c:v>0.1046</c:v>
                </c:pt>
                <c:pt idx="12">
                  <c:v>0.10639999999999999</c:v>
                </c:pt>
                <c:pt idx="13">
                  <c:v>0.10730000000000001</c:v>
                </c:pt>
                <c:pt idx="14">
                  <c:v>0.10680000000000001</c:v>
                </c:pt>
                <c:pt idx="15">
                  <c:v>0.1055</c:v>
                </c:pt>
                <c:pt idx="16">
                  <c:v>0.10340000000000001</c:v>
                </c:pt>
                <c:pt idx="17">
                  <c:v>0.10009999999999999</c:v>
                </c:pt>
                <c:pt idx="18">
                  <c:v>9.5500000000000002E-2</c:v>
                </c:pt>
                <c:pt idx="19">
                  <c:v>9.0499999999999997E-2</c:v>
                </c:pt>
                <c:pt idx="20">
                  <c:v>8.4900000000000003E-2</c:v>
                </c:pt>
                <c:pt idx="21">
                  <c:v>7.8600000000000003E-2</c:v>
                </c:pt>
                <c:pt idx="22">
                  <c:v>7.17E-2</c:v>
                </c:pt>
                <c:pt idx="23">
                  <c:v>6.4199999999999993E-2</c:v>
                </c:pt>
                <c:pt idx="24">
                  <c:v>5.6000000000000001E-2</c:v>
                </c:pt>
                <c:pt idx="25">
                  <c:v>4.6899999999999997E-2</c:v>
                </c:pt>
                <c:pt idx="26">
                  <c:v>3.7199999999999997E-2</c:v>
                </c:pt>
                <c:pt idx="27">
                  <c:v>2.6800000000000001E-2</c:v>
                </c:pt>
                <c:pt idx="28">
                  <c:v>1.5699999999999999E-2</c:v>
                </c:pt>
                <c:pt idx="29">
                  <c:v>4.4000000000000003E-3</c:v>
                </c:pt>
              </c:numCache>
            </c:numRef>
          </c:yVal>
          <c:smooth val="0"/>
        </c:ser>
        <c:ser>
          <c:idx val="15"/>
          <c:order val="15"/>
          <c:tx>
            <c:strRef>
              <c:f>'9x9e'!$AE$14</c:f>
              <c:strCache>
                <c:ptCount val="1"/>
                <c:pt idx="0">
                  <c:v>Kq@1000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  <a:lumOff val="20000"/>
                </a:schemeClr>
              </a:solidFill>
              <a:ln w="9525">
                <a:solidFill>
                  <a:schemeClr val="accent4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'9x9e'!$T$18:$T$46</c:f>
              <c:numCache>
                <c:formatCode>General</c:formatCode>
                <c:ptCount val="29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0.61</c:v>
                </c:pt>
                <c:pt idx="15">
                  <c:v>0.65</c:v>
                </c:pt>
                <c:pt idx="16">
                  <c:v>0.69</c:v>
                </c:pt>
                <c:pt idx="17">
                  <c:v>0.74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</c:numCache>
            </c:numRef>
          </c:xVal>
          <c:yVal>
            <c:numRef>
              <c:f>'9x9e'!$AF$18:$AF$46</c:f>
              <c:numCache>
                <c:formatCode>General</c:formatCode>
                <c:ptCount val="29"/>
                <c:pt idx="0">
                  <c:v>1.2580952380952378E-2</c:v>
                </c:pt>
                <c:pt idx="1">
                  <c:v>1.2599999999999998E-2</c:v>
                </c:pt>
                <c:pt idx="2">
                  <c:v>1.3134920634920631E-2</c:v>
                </c:pt>
                <c:pt idx="3">
                  <c:v>1.3154761904761903E-2</c:v>
                </c:pt>
                <c:pt idx="4">
                  <c:v>1.3691269841269841E-2</c:v>
                </c:pt>
                <c:pt idx="5">
                  <c:v>1.4228571428571425E-2</c:v>
                </c:pt>
                <c:pt idx="6">
                  <c:v>1.4228571428571425E-2</c:v>
                </c:pt>
                <c:pt idx="7">
                  <c:v>1.4744444444444442E-2</c:v>
                </c:pt>
                <c:pt idx="8">
                  <c:v>1.5259523809523808E-2</c:v>
                </c:pt>
                <c:pt idx="9">
                  <c:v>1.5749999999999997E-2</c:v>
                </c:pt>
                <c:pt idx="10">
                  <c:v>1.5690476190476189E-2</c:v>
                </c:pt>
                <c:pt idx="11">
                  <c:v>1.6699176954732508E-2</c:v>
                </c:pt>
                <c:pt idx="12">
                  <c:v>1.6507818930041152E-2</c:v>
                </c:pt>
                <c:pt idx="13">
                  <c:v>1.7312820512820508E-2</c:v>
                </c:pt>
                <c:pt idx="14">
                  <c:v>1.6765811965811967E-2</c:v>
                </c:pt>
                <c:pt idx="15">
                  <c:v>1.6202666666666667E-2</c:v>
                </c:pt>
                <c:pt idx="16">
                  <c:v>1.6742995169082123E-2</c:v>
                </c:pt>
                <c:pt idx="17">
                  <c:v>1.5893939393939394E-2</c:v>
                </c:pt>
                <c:pt idx="18">
                  <c:v>1.5627777777777782E-2</c:v>
                </c:pt>
                <c:pt idx="19">
                  <c:v>1.4052631578947367E-2</c:v>
                </c:pt>
                <c:pt idx="20">
                  <c:v>1.3730718954248362E-2</c:v>
                </c:pt>
                <c:pt idx="21">
                  <c:v>1.290666666666667E-2</c:v>
                </c:pt>
                <c:pt idx="22">
                  <c:v>1.2052991452991452E-2</c:v>
                </c:pt>
                <c:pt idx="23">
                  <c:v>1.0277777777777776E-2</c:v>
                </c:pt>
                <c:pt idx="24">
                  <c:v>8.8022222222222234E-3</c:v>
                </c:pt>
                <c:pt idx="25">
                  <c:v>7.2916666666666668E-3</c:v>
                </c:pt>
                <c:pt idx="26">
                  <c:v>5.7648148148148146E-3</c:v>
                </c:pt>
                <c:pt idx="27">
                  <c:v>4.2222222222222218E-3</c:v>
                </c:pt>
                <c:pt idx="28">
                  <c:v>2.6666666666666666E-3</c:v>
                </c:pt>
              </c:numCache>
            </c:numRef>
          </c:yVal>
          <c:smooth val="0"/>
        </c:ser>
        <c:ser>
          <c:idx val="16"/>
          <c:order val="16"/>
          <c:tx>
            <c:strRef>
              <c:f>'9x9e'!$AE$51</c:f>
              <c:strCache>
                <c:ptCount val="1"/>
                <c:pt idx="0">
                  <c:v>Kq@2000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  <a:lumOff val="20000"/>
                </a:schemeClr>
              </a:solidFill>
              <a:ln w="9525">
                <a:solidFill>
                  <a:schemeClr val="accent5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'9x9e'!$T$55:$T$83</c:f>
              <c:numCache>
                <c:formatCode>General</c:formatCode>
                <c:ptCount val="29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0.35</c:v>
                </c:pt>
                <c:pt idx="9">
                  <c:v>0.39</c:v>
                </c:pt>
                <c:pt idx="10">
                  <c:v>0.43</c:v>
                </c:pt>
                <c:pt idx="11">
                  <c:v>0.48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0.61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0.91</c:v>
                </c:pt>
                <c:pt idx="22">
                  <c:v>0.95</c:v>
                </c:pt>
                <c:pt idx="23">
                  <c:v>0.99</c:v>
                </c:pt>
                <c:pt idx="24">
                  <c:v>1.04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1.17</c:v>
                </c:pt>
                <c:pt idx="28">
                  <c:v>1.21</c:v>
                </c:pt>
              </c:numCache>
            </c:numRef>
          </c:xVal>
          <c:yVal>
            <c:numRef>
              <c:f>'9x9e'!$AF$55:$AF$83</c:f>
              <c:numCache>
                <c:formatCode>General</c:formatCode>
                <c:ptCount val="29"/>
                <c:pt idx="0">
                  <c:v>1.2676262626262624E-2</c:v>
                </c:pt>
                <c:pt idx="1">
                  <c:v>1.2845945945945944E-2</c:v>
                </c:pt>
                <c:pt idx="2">
                  <c:v>1.3263263263263264E-2</c:v>
                </c:pt>
                <c:pt idx="3">
                  <c:v>1.3548948948948949E-2</c:v>
                </c:pt>
                <c:pt idx="4">
                  <c:v>1.3957957957957954E-2</c:v>
                </c:pt>
                <c:pt idx="5">
                  <c:v>1.4234534534534535E-2</c:v>
                </c:pt>
                <c:pt idx="6">
                  <c:v>1.4633633633633633E-2</c:v>
                </c:pt>
                <c:pt idx="7">
                  <c:v>1.502142142142142E-2</c:v>
                </c:pt>
                <c:pt idx="8">
                  <c:v>1.540860860860861E-2</c:v>
                </c:pt>
                <c:pt idx="9">
                  <c:v>1.5771371371371367E-2</c:v>
                </c:pt>
                <c:pt idx="10">
                  <c:v>1.6121111111111114E-2</c:v>
                </c:pt>
                <c:pt idx="11">
                  <c:v>1.6408080808080813E-2</c:v>
                </c:pt>
                <c:pt idx="12">
                  <c:v>1.6787037037037038E-2</c:v>
                </c:pt>
                <c:pt idx="13">
                  <c:v>1.6866771488469604E-2</c:v>
                </c:pt>
                <c:pt idx="14">
                  <c:v>1.6823732470334418E-2</c:v>
                </c:pt>
                <c:pt idx="15">
                  <c:v>1.6695011337868479E-2</c:v>
                </c:pt>
                <c:pt idx="16">
                  <c:v>1.6269148936170211E-2</c:v>
                </c:pt>
                <c:pt idx="17">
                  <c:v>1.5791540404040402E-2</c:v>
                </c:pt>
                <c:pt idx="18">
                  <c:v>1.52E-2</c:v>
                </c:pt>
                <c:pt idx="19">
                  <c:v>1.4404148148148147E-2</c:v>
                </c:pt>
                <c:pt idx="20">
                  <c:v>1.3499999999999995E-2</c:v>
                </c:pt>
                <c:pt idx="21">
                  <c:v>1.2597449908925317E-2</c:v>
                </c:pt>
                <c:pt idx="22">
                  <c:v>1.1510493827160493E-2</c:v>
                </c:pt>
                <c:pt idx="23">
                  <c:v>1.040260047281324E-2</c:v>
                </c:pt>
                <c:pt idx="24">
                  <c:v>9.1999999999999998E-3</c:v>
                </c:pt>
                <c:pt idx="25">
                  <c:v>7.702150537634408E-3</c:v>
                </c:pt>
                <c:pt idx="26">
                  <c:v>5.9166666666666682E-3</c:v>
                </c:pt>
                <c:pt idx="27">
                  <c:v>4.3770833333333327E-3</c:v>
                </c:pt>
                <c:pt idx="28">
                  <c:v>2.5333333333333332E-3</c:v>
                </c:pt>
              </c:numCache>
            </c:numRef>
          </c:yVal>
          <c:smooth val="0"/>
        </c:ser>
        <c:ser>
          <c:idx val="17"/>
          <c:order val="17"/>
          <c:tx>
            <c:strRef>
              <c:f>'9x9e'!$AE$347</c:f>
              <c:strCache>
                <c:ptCount val="1"/>
                <c:pt idx="0">
                  <c:v>Kq@10000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  <a:lumOff val="20000"/>
                </a:schemeClr>
              </a:solidFill>
              <a:ln w="9525">
                <a:solidFill>
                  <a:schemeClr val="accent6">
                    <a:lumMod val="80000"/>
                    <a:lumOff val="2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6">
                    <a:lumMod val="80000"/>
                    <a:lumOff val="20000"/>
                  </a:schemeClr>
                </a:solidFill>
                <a:prstDash val="sysDot"/>
              </a:ln>
              <a:effectLst/>
            </c:spPr>
            <c:trendlineType val="poly"/>
            <c:order val="4"/>
            <c:dispRSqr val="1"/>
            <c:dispEq val="1"/>
            <c:trendlineLbl>
              <c:layout>
                <c:manualLayout>
                  <c:x val="-0.18625460169516492"/>
                  <c:y val="5.1807739553327056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'9x9e'!$T$351:$T$379</c:f>
              <c:numCache>
                <c:formatCode>General</c:formatCode>
                <c:ptCount val="29"/>
                <c:pt idx="0">
                  <c:v>0</c:v>
                </c:pt>
                <c:pt idx="1">
                  <c:v>0.04</c:v>
                </c:pt>
                <c:pt idx="2">
                  <c:v>0.09</c:v>
                </c:pt>
                <c:pt idx="3">
                  <c:v>0.13</c:v>
                </c:pt>
                <c:pt idx="4">
                  <c:v>0.17</c:v>
                </c:pt>
                <c:pt idx="5">
                  <c:v>0.22</c:v>
                </c:pt>
                <c:pt idx="6">
                  <c:v>0.26</c:v>
                </c:pt>
                <c:pt idx="7">
                  <c:v>0.3</c:v>
                </c:pt>
                <c:pt idx="8">
                  <c:v>0.34</c:v>
                </c:pt>
                <c:pt idx="9">
                  <c:v>0.39</c:v>
                </c:pt>
                <c:pt idx="10">
                  <c:v>0.43</c:v>
                </c:pt>
                <c:pt idx="11">
                  <c:v>0.47</c:v>
                </c:pt>
                <c:pt idx="12">
                  <c:v>0.52</c:v>
                </c:pt>
                <c:pt idx="13">
                  <c:v>0.56000000000000005</c:v>
                </c:pt>
                <c:pt idx="14">
                  <c:v>0.6</c:v>
                </c:pt>
                <c:pt idx="15">
                  <c:v>0.65</c:v>
                </c:pt>
                <c:pt idx="16">
                  <c:v>0.69</c:v>
                </c:pt>
                <c:pt idx="17">
                  <c:v>0.73</c:v>
                </c:pt>
                <c:pt idx="18">
                  <c:v>0.78</c:v>
                </c:pt>
                <c:pt idx="19">
                  <c:v>0.82</c:v>
                </c:pt>
                <c:pt idx="20">
                  <c:v>0.86</c:v>
                </c:pt>
                <c:pt idx="21">
                  <c:v>0.9</c:v>
                </c:pt>
                <c:pt idx="22">
                  <c:v>0.95</c:v>
                </c:pt>
                <c:pt idx="23">
                  <c:v>0.99</c:v>
                </c:pt>
                <c:pt idx="24">
                  <c:v>1.03</c:v>
                </c:pt>
                <c:pt idx="25">
                  <c:v>1.08</c:v>
                </c:pt>
                <c:pt idx="26">
                  <c:v>1.1200000000000001</c:v>
                </c:pt>
                <c:pt idx="27">
                  <c:v>1.1599999999999999</c:v>
                </c:pt>
                <c:pt idx="28">
                  <c:v>1.21</c:v>
                </c:pt>
              </c:numCache>
            </c:numRef>
          </c:xVal>
          <c:yVal>
            <c:numRef>
              <c:f>'9x9e'!$AF$351:$AF$379</c:f>
              <c:numCache>
                <c:formatCode>General</c:formatCode>
                <c:ptCount val="29"/>
                <c:pt idx="0">
                  <c:v>1.2492448954935365E-2</c:v>
                </c:pt>
                <c:pt idx="1">
                  <c:v>1.2785659709655367E-2</c:v>
                </c:pt>
                <c:pt idx="2">
                  <c:v>1.3106069364161853E-2</c:v>
                </c:pt>
                <c:pt idx="3">
                  <c:v>1.3473646672276315E-2</c:v>
                </c:pt>
                <c:pt idx="4">
                  <c:v>1.3847072234221261E-2</c:v>
                </c:pt>
                <c:pt idx="5">
                  <c:v>1.424134914929307E-2</c:v>
                </c:pt>
                <c:pt idx="6">
                  <c:v>1.4645888689407542E-2</c:v>
                </c:pt>
                <c:pt idx="7">
                  <c:v>1.506097551248305E-2</c:v>
                </c:pt>
                <c:pt idx="8">
                  <c:v>1.5480960357342264E-2</c:v>
                </c:pt>
                <c:pt idx="9">
                  <c:v>1.5895508444125048E-2</c:v>
                </c:pt>
                <c:pt idx="10">
                  <c:v>1.6282151002280636E-2</c:v>
                </c:pt>
                <c:pt idx="11">
                  <c:v>1.6640506329113923E-2</c:v>
                </c:pt>
                <c:pt idx="12">
                  <c:v>1.693211811884798E-2</c:v>
                </c:pt>
                <c:pt idx="13">
                  <c:v>1.7071340257171119E-2</c:v>
                </c:pt>
                <c:pt idx="14">
                  <c:v>1.7000696568127756E-2</c:v>
                </c:pt>
                <c:pt idx="15">
                  <c:v>1.6796062052505972E-2</c:v>
                </c:pt>
                <c:pt idx="16">
                  <c:v>1.6446859903381645E-2</c:v>
                </c:pt>
                <c:pt idx="17">
                  <c:v>1.5944286279161727E-2</c:v>
                </c:pt>
                <c:pt idx="18">
                  <c:v>1.5209354477014252E-2</c:v>
                </c:pt>
                <c:pt idx="19">
                  <c:v>1.4396336996336995E-2</c:v>
                </c:pt>
                <c:pt idx="20">
                  <c:v>1.3501823066589905E-2</c:v>
                </c:pt>
                <c:pt idx="21">
                  <c:v>1.251574371035564E-2</c:v>
                </c:pt>
                <c:pt idx="22">
                  <c:v>1.14250080749354E-2</c:v>
                </c:pt>
                <c:pt idx="23">
                  <c:v>1.0215225300867619E-2</c:v>
                </c:pt>
                <c:pt idx="24">
                  <c:v>8.9058164058164052E-3</c:v>
                </c:pt>
                <c:pt idx="25">
                  <c:v>7.4771039603960393E-3</c:v>
                </c:pt>
                <c:pt idx="26">
                  <c:v>5.9154028005091834E-3</c:v>
                </c:pt>
                <c:pt idx="27">
                  <c:v>4.2546341463414634E-3</c:v>
                </c:pt>
                <c:pt idx="28">
                  <c:v>2.5043689320388353E-3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510208"/>
        <c:axId val="128782336"/>
      </c:scatterChart>
      <c:valAx>
        <c:axId val="12851020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782336"/>
        <c:crosses val="autoZero"/>
        <c:crossBetween val="midCat"/>
      </c:valAx>
      <c:valAx>
        <c:axId val="128782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51020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4.8406455784577571E-2"/>
          <c:y val="3.5599438481927821E-2"/>
          <c:w val="0.91729883396394674"/>
          <c:h val="0.87825608722366988"/>
        </c:manualLayout>
      </c:layout>
      <c:scatterChart>
        <c:scatterStyle val="lineMarker"/>
        <c:varyColors val="0"/>
        <c:ser>
          <c:idx val="0"/>
          <c:order val="0"/>
          <c:tx>
            <c:strRef>
              <c:f>'7x5e'!$AC$14</c:f>
              <c:strCache>
                <c:ptCount val="1"/>
                <c:pt idx="0">
                  <c:v>Ct@1000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'7x5e'!$T$18:$T$47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0.53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0.76</c:v>
                </c:pt>
                <c:pt idx="24">
                  <c:v>0.79</c:v>
                </c:pt>
                <c:pt idx="25">
                  <c:v>0.82</c:v>
                </c:pt>
                <c:pt idx="26">
                  <c:v>0.86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'7x5e'!$V$18:$V$47</c:f>
              <c:numCache>
                <c:formatCode>General</c:formatCode>
                <c:ptCount val="30"/>
                <c:pt idx="0">
                  <c:v>0.13189999999999999</c:v>
                </c:pt>
                <c:pt idx="1">
                  <c:v>0.13150000000000001</c:v>
                </c:pt>
                <c:pt idx="2">
                  <c:v>0.13100000000000001</c:v>
                </c:pt>
                <c:pt idx="3">
                  <c:v>0.1303</c:v>
                </c:pt>
                <c:pt idx="4">
                  <c:v>0.12959999999999999</c:v>
                </c:pt>
                <c:pt idx="5">
                  <c:v>0.12859999999999999</c:v>
                </c:pt>
                <c:pt idx="6">
                  <c:v>0.1273</c:v>
                </c:pt>
                <c:pt idx="7">
                  <c:v>0.12559999999999999</c:v>
                </c:pt>
                <c:pt idx="8">
                  <c:v>0.1236</c:v>
                </c:pt>
                <c:pt idx="9">
                  <c:v>0.1211</c:v>
                </c:pt>
                <c:pt idx="10">
                  <c:v>0.1181</c:v>
                </c:pt>
                <c:pt idx="11">
                  <c:v>0.11459999999999999</c:v>
                </c:pt>
                <c:pt idx="12">
                  <c:v>0.1106</c:v>
                </c:pt>
                <c:pt idx="13">
                  <c:v>0.1061</c:v>
                </c:pt>
                <c:pt idx="14">
                  <c:v>0.1011</c:v>
                </c:pt>
                <c:pt idx="15">
                  <c:v>9.5500000000000002E-2</c:v>
                </c:pt>
                <c:pt idx="16">
                  <c:v>8.9599999999999999E-2</c:v>
                </c:pt>
                <c:pt idx="17">
                  <c:v>8.3500000000000005E-2</c:v>
                </c:pt>
                <c:pt idx="18">
                  <c:v>7.7299999999999994E-2</c:v>
                </c:pt>
                <c:pt idx="19">
                  <c:v>7.0999999999999994E-2</c:v>
                </c:pt>
                <c:pt idx="20">
                  <c:v>6.4500000000000002E-2</c:v>
                </c:pt>
                <c:pt idx="21">
                  <c:v>5.79E-2</c:v>
                </c:pt>
                <c:pt idx="22">
                  <c:v>5.11E-2</c:v>
                </c:pt>
                <c:pt idx="23">
                  <c:v>4.41E-2</c:v>
                </c:pt>
                <c:pt idx="24">
                  <c:v>3.6900000000000002E-2</c:v>
                </c:pt>
                <c:pt idx="25">
                  <c:v>2.9700000000000001E-2</c:v>
                </c:pt>
                <c:pt idx="26">
                  <c:v>2.24E-2</c:v>
                </c:pt>
                <c:pt idx="27">
                  <c:v>1.4999999999999999E-2</c:v>
                </c:pt>
                <c:pt idx="28">
                  <c:v>7.6E-3</c:v>
                </c:pt>
                <c:pt idx="29">
                  <c:v>-1E-4</c:v>
                </c:pt>
              </c:numCache>
            </c:numRef>
          </c:yVal>
          <c:smooth val="0"/>
        </c:ser>
        <c:ser>
          <c:idx val="1"/>
          <c:order val="1"/>
          <c:tx>
            <c:strRef>
              <c:f>'7x5e'!$AC$51</c:f>
              <c:strCache>
                <c:ptCount val="1"/>
                <c:pt idx="0">
                  <c:v>Ct@2000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'7x5e'!$T$55:$T$84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0.53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0.76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'7x5e'!$V$55:$V$84</c:f>
              <c:numCache>
                <c:formatCode>General</c:formatCode>
                <c:ptCount val="30"/>
                <c:pt idx="0">
                  <c:v>0.13200000000000001</c:v>
                </c:pt>
                <c:pt idx="1">
                  <c:v>0.13159999999999999</c:v>
                </c:pt>
                <c:pt idx="2">
                  <c:v>0.13109999999999999</c:v>
                </c:pt>
                <c:pt idx="3">
                  <c:v>0.1305</c:v>
                </c:pt>
                <c:pt idx="4">
                  <c:v>0.12970000000000001</c:v>
                </c:pt>
                <c:pt idx="5">
                  <c:v>0.12870000000000001</c:v>
                </c:pt>
                <c:pt idx="6">
                  <c:v>0.12740000000000001</c:v>
                </c:pt>
                <c:pt idx="7">
                  <c:v>0.1258</c:v>
                </c:pt>
                <c:pt idx="8">
                  <c:v>0.12379999999999999</c:v>
                </c:pt>
                <c:pt idx="9">
                  <c:v>0.1212</c:v>
                </c:pt>
                <c:pt idx="10">
                  <c:v>0.1182</c:v>
                </c:pt>
                <c:pt idx="11">
                  <c:v>0.1148</c:v>
                </c:pt>
                <c:pt idx="12">
                  <c:v>0.1108</c:v>
                </c:pt>
                <c:pt idx="13">
                  <c:v>0.10630000000000001</c:v>
                </c:pt>
                <c:pt idx="14">
                  <c:v>0.1013</c:v>
                </c:pt>
                <c:pt idx="15">
                  <c:v>9.5799999999999996E-2</c:v>
                </c:pt>
                <c:pt idx="16">
                  <c:v>8.9899999999999994E-2</c:v>
                </c:pt>
                <c:pt idx="17">
                  <c:v>8.3799999999999999E-2</c:v>
                </c:pt>
                <c:pt idx="18">
                  <c:v>7.7600000000000002E-2</c:v>
                </c:pt>
                <c:pt idx="19">
                  <c:v>7.1199999999999999E-2</c:v>
                </c:pt>
                <c:pt idx="20">
                  <c:v>6.4699999999999994E-2</c:v>
                </c:pt>
                <c:pt idx="21">
                  <c:v>5.8099999999999999E-2</c:v>
                </c:pt>
                <c:pt idx="22">
                  <c:v>5.1299999999999998E-2</c:v>
                </c:pt>
                <c:pt idx="23">
                  <c:v>4.4299999999999999E-2</c:v>
                </c:pt>
                <c:pt idx="24">
                  <c:v>3.7199999999999997E-2</c:v>
                </c:pt>
                <c:pt idx="25">
                  <c:v>2.9899999999999999E-2</c:v>
                </c:pt>
                <c:pt idx="26">
                  <c:v>2.2499999999999999E-2</c:v>
                </c:pt>
                <c:pt idx="27">
                  <c:v>1.5100000000000001E-2</c:v>
                </c:pt>
                <c:pt idx="28">
                  <c:v>7.6E-3</c:v>
                </c:pt>
                <c:pt idx="29">
                  <c:v>0</c:v>
                </c:pt>
              </c:numCache>
            </c:numRef>
          </c:yVal>
          <c:smooth val="0"/>
        </c:ser>
        <c:ser>
          <c:idx val="2"/>
          <c:order val="2"/>
          <c:tx>
            <c:strRef>
              <c:f>'7x5e'!$AC$88</c:f>
              <c:strCache>
                <c:ptCount val="1"/>
                <c:pt idx="0">
                  <c:v>Ct@3000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'7x5e'!$T$92:$T$121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'7x5e'!$V$92:$V$121</c:f>
              <c:numCache>
                <c:formatCode>General</c:formatCode>
                <c:ptCount val="30"/>
                <c:pt idx="0">
                  <c:v>0.13200000000000001</c:v>
                </c:pt>
                <c:pt idx="1">
                  <c:v>0.13159999999999999</c:v>
                </c:pt>
                <c:pt idx="2">
                  <c:v>0.13100000000000001</c:v>
                </c:pt>
                <c:pt idx="3">
                  <c:v>0.13039999999999999</c:v>
                </c:pt>
                <c:pt idx="4">
                  <c:v>0.12959999999999999</c:v>
                </c:pt>
                <c:pt idx="5">
                  <c:v>0.12859999999999999</c:v>
                </c:pt>
                <c:pt idx="6">
                  <c:v>0.1273</c:v>
                </c:pt>
                <c:pt idx="7">
                  <c:v>0.12570000000000001</c:v>
                </c:pt>
                <c:pt idx="8">
                  <c:v>0.1236</c:v>
                </c:pt>
                <c:pt idx="9">
                  <c:v>0.1211</c:v>
                </c:pt>
                <c:pt idx="10">
                  <c:v>0.1181</c:v>
                </c:pt>
                <c:pt idx="11">
                  <c:v>0.1147</c:v>
                </c:pt>
                <c:pt idx="12">
                  <c:v>0.11070000000000001</c:v>
                </c:pt>
                <c:pt idx="13">
                  <c:v>0.10630000000000001</c:v>
                </c:pt>
                <c:pt idx="14">
                  <c:v>0.1013</c:v>
                </c:pt>
                <c:pt idx="15">
                  <c:v>9.5799999999999996E-2</c:v>
                </c:pt>
                <c:pt idx="16">
                  <c:v>0.09</c:v>
                </c:pt>
                <c:pt idx="17">
                  <c:v>8.3900000000000002E-2</c:v>
                </c:pt>
                <c:pt idx="18">
                  <c:v>7.7799999999999994E-2</c:v>
                </c:pt>
                <c:pt idx="19">
                  <c:v>7.1499999999999994E-2</c:v>
                </c:pt>
                <c:pt idx="20">
                  <c:v>6.5100000000000005E-2</c:v>
                </c:pt>
                <c:pt idx="21">
                  <c:v>5.8400000000000001E-2</c:v>
                </c:pt>
                <c:pt idx="22">
                  <c:v>5.1700000000000003E-2</c:v>
                </c:pt>
                <c:pt idx="23">
                  <c:v>4.4699999999999997E-2</c:v>
                </c:pt>
                <c:pt idx="24">
                  <c:v>3.7499999999999999E-2</c:v>
                </c:pt>
                <c:pt idx="25">
                  <c:v>3.0200000000000001E-2</c:v>
                </c:pt>
                <c:pt idx="26">
                  <c:v>2.2800000000000001E-2</c:v>
                </c:pt>
                <c:pt idx="27">
                  <c:v>1.54E-2</c:v>
                </c:pt>
                <c:pt idx="28">
                  <c:v>7.7999999999999996E-3</c:v>
                </c:pt>
                <c:pt idx="29">
                  <c:v>2.0000000000000001E-4</c:v>
                </c:pt>
              </c:numCache>
            </c:numRef>
          </c:yVal>
          <c:smooth val="0"/>
        </c:ser>
        <c:ser>
          <c:idx val="3"/>
          <c:order val="3"/>
          <c:tx>
            <c:strRef>
              <c:f>'7x5e'!$AC$125</c:f>
              <c:strCache>
                <c:ptCount val="1"/>
                <c:pt idx="0">
                  <c:v>Ct@4000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'7x5e'!$T$129:$T$158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'7x5e'!$V$129:$V$158</c:f>
              <c:numCache>
                <c:formatCode>General</c:formatCode>
                <c:ptCount val="30"/>
                <c:pt idx="0">
                  <c:v>0.1321</c:v>
                </c:pt>
                <c:pt idx="1">
                  <c:v>0.13159999999999999</c:v>
                </c:pt>
                <c:pt idx="2">
                  <c:v>0.13109999999999999</c:v>
                </c:pt>
                <c:pt idx="3">
                  <c:v>0.1305</c:v>
                </c:pt>
                <c:pt idx="4">
                  <c:v>0.12970000000000001</c:v>
                </c:pt>
                <c:pt idx="5">
                  <c:v>0.12870000000000001</c:v>
                </c:pt>
                <c:pt idx="6">
                  <c:v>0.12740000000000001</c:v>
                </c:pt>
                <c:pt idx="7">
                  <c:v>0.1258</c:v>
                </c:pt>
                <c:pt idx="8">
                  <c:v>0.1237</c:v>
                </c:pt>
                <c:pt idx="9">
                  <c:v>0.12130000000000001</c:v>
                </c:pt>
                <c:pt idx="10">
                  <c:v>0.1183</c:v>
                </c:pt>
                <c:pt idx="11">
                  <c:v>0.1149</c:v>
                </c:pt>
                <c:pt idx="12">
                  <c:v>0.1109</c:v>
                </c:pt>
                <c:pt idx="13">
                  <c:v>0.10639999999999999</c:v>
                </c:pt>
                <c:pt idx="14">
                  <c:v>0.1014</c:v>
                </c:pt>
                <c:pt idx="15">
                  <c:v>9.6000000000000002E-2</c:v>
                </c:pt>
                <c:pt idx="16">
                  <c:v>9.01E-2</c:v>
                </c:pt>
                <c:pt idx="17">
                  <c:v>8.4099999999999994E-2</c:v>
                </c:pt>
                <c:pt idx="18">
                  <c:v>7.7899999999999997E-2</c:v>
                </c:pt>
                <c:pt idx="19">
                  <c:v>7.1599999999999997E-2</c:v>
                </c:pt>
                <c:pt idx="20">
                  <c:v>6.5100000000000005E-2</c:v>
                </c:pt>
                <c:pt idx="21">
                  <c:v>5.8500000000000003E-2</c:v>
                </c:pt>
                <c:pt idx="22">
                  <c:v>5.1700000000000003E-2</c:v>
                </c:pt>
                <c:pt idx="23">
                  <c:v>4.4699999999999997E-2</c:v>
                </c:pt>
                <c:pt idx="24">
                  <c:v>3.7600000000000001E-2</c:v>
                </c:pt>
                <c:pt idx="25">
                  <c:v>3.0200000000000001E-2</c:v>
                </c:pt>
                <c:pt idx="26">
                  <c:v>2.2800000000000001E-2</c:v>
                </c:pt>
                <c:pt idx="27">
                  <c:v>1.52E-2</c:v>
                </c:pt>
                <c:pt idx="28">
                  <c:v>7.6E-3</c:v>
                </c:pt>
                <c:pt idx="29">
                  <c:v>0</c:v>
                </c:pt>
              </c:numCache>
            </c:numRef>
          </c:yVal>
          <c:smooth val="0"/>
        </c:ser>
        <c:ser>
          <c:idx val="4"/>
          <c:order val="4"/>
          <c:tx>
            <c:strRef>
              <c:f>'7x5e'!$AC$162</c:f>
              <c:strCache>
                <c:ptCount val="1"/>
                <c:pt idx="0">
                  <c:v>Ct@5000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'7x5e'!$T$166:$T$195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'7x5e'!$V$166:$V$195</c:f>
              <c:numCache>
                <c:formatCode>General</c:formatCode>
                <c:ptCount val="30"/>
                <c:pt idx="0">
                  <c:v>0.1321</c:v>
                </c:pt>
                <c:pt idx="1">
                  <c:v>0.13170000000000001</c:v>
                </c:pt>
                <c:pt idx="2">
                  <c:v>0.13120000000000001</c:v>
                </c:pt>
                <c:pt idx="3">
                  <c:v>0.13059999999999999</c:v>
                </c:pt>
                <c:pt idx="4">
                  <c:v>0.1298</c:v>
                </c:pt>
                <c:pt idx="5">
                  <c:v>0.1288</c:v>
                </c:pt>
                <c:pt idx="6">
                  <c:v>0.1275</c:v>
                </c:pt>
                <c:pt idx="7">
                  <c:v>0.12590000000000001</c:v>
                </c:pt>
                <c:pt idx="8">
                  <c:v>0.1239</c:v>
                </c:pt>
                <c:pt idx="9">
                  <c:v>0.12139999999999999</c:v>
                </c:pt>
                <c:pt idx="10">
                  <c:v>0.11840000000000001</c:v>
                </c:pt>
                <c:pt idx="11">
                  <c:v>0.115</c:v>
                </c:pt>
                <c:pt idx="12">
                  <c:v>0.111</c:v>
                </c:pt>
                <c:pt idx="13">
                  <c:v>0.1066</c:v>
                </c:pt>
                <c:pt idx="14">
                  <c:v>0.1016</c:v>
                </c:pt>
                <c:pt idx="15">
                  <c:v>9.6100000000000005E-2</c:v>
                </c:pt>
                <c:pt idx="16">
                  <c:v>9.0200000000000002E-2</c:v>
                </c:pt>
                <c:pt idx="17">
                  <c:v>8.4199999999999997E-2</c:v>
                </c:pt>
                <c:pt idx="18">
                  <c:v>7.8E-2</c:v>
                </c:pt>
                <c:pt idx="19">
                  <c:v>7.17E-2</c:v>
                </c:pt>
                <c:pt idx="20">
                  <c:v>6.5199999999999994E-2</c:v>
                </c:pt>
                <c:pt idx="21">
                  <c:v>5.8599999999999999E-2</c:v>
                </c:pt>
                <c:pt idx="22">
                  <c:v>5.1799999999999999E-2</c:v>
                </c:pt>
                <c:pt idx="23">
                  <c:v>4.48E-2</c:v>
                </c:pt>
                <c:pt idx="24">
                  <c:v>3.7600000000000001E-2</c:v>
                </c:pt>
                <c:pt idx="25">
                  <c:v>3.0300000000000001E-2</c:v>
                </c:pt>
                <c:pt idx="26">
                  <c:v>2.2800000000000001E-2</c:v>
                </c:pt>
                <c:pt idx="27">
                  <c:v>1.5299999999999999E-2</c:v>
                </c:pt>
                <c:pt idx="28">
                  <c:v>7.7000000000000002E-3</c:v>
                </c:pt>
                <c:pt idx="29">
                  <c:v>0</c:v>
                </c:pt>
              </c:numCache>
            </c:numRef>
          </c:yVal>
          <c:smooth val="0"/>
        </c:ser>
        <c:ser>
          <c:idx val="5"/>
          <c:order val="5"/>
          <c:tx>
            <c:strRef>
              <c:f>'7x5e'!$AC$199</c:f>
              <c:strCache>
                <c:ptCount val="1"/>
                <c:pt idx="0">
                  <c:v>Ct@6000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'7x5e'!$T$203:$T$232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0.28999999999999998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0.88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'7x5e'!$V$203:$V$232</c:f>
              <c:numCache>
                <c:formatCode>General</c:formatCode>
                <c:ptCount val="30"/>
                <c:pt idx="0">
                  <c:v>0.13220000000000001</c:v>
                </c:pt>
                <c:pt idx="1">
                  <c:v>0.13170000000000001</c:v>
                </c:pt>
                <c:pt idx="2">
                  <c:v>0.13120000000000001</c:v>
                </c:pt>
                <c:pt idx="3">
                  <c:v>0.13059999999999999</c:v>
                </c:pt>
                <c:pt idx="4">
                  <c:v>0.12989999999999999</c:v>
                </c:pt>
                <c:pt idx="5">
                  <c:v>0.12889999999999999</c:v>
                </c:pt>
                <c:pt idx="6">
                  <c:v>0.12759999999999999</c:v>
                </c:pt>
                <c:pt idx="7">
                  <c:v>0.126</c:v>
                </c:pt>
                <c:pt idx="8">
                  <c:v>0.124</c:v>
                </c:pt>
                <c:pt idx="9">
                  <c:v>0.1215</c:v>
                </c:pt>
                <c:pt idx="10">
                  <c:v>0.1186</c:v>
                </c:pt>
                <c:pt idx="11">
                  <c:v>0.1152</c:v>
                </c:pt>
                <c:pt idx="12">
                  <c:v>0.11119999999999999</c:v>
                </c:pt>
                <c:pt idx="13">
                  <c:v>0.1067</c:v>
                </c:pt>
                <c:pt idx="14">
                  <c:v>0.1017</c:v>
                </c:pt>
                <c:pt idx="15">
                  <c:v>9.6299999999999997E-2</c:v>
                </c:pt>
                <c:pt idx="16">
                  <c:v>9.0399999999999994E-2</c:v>
                </c:pt>
                <c:pt idx="17">
                  <c:v>8.43E-2</c:v>
                </c:pt>
                <c:pt idx="18">
                  <c:v>7.8100000000000003E-2</c:v>
                </c:pt>
                <c:pt idx="19">
                  <c:v>7.1800000000000003E-2</c:v>
                </c:pt>
                <c:pt idx="20">
                  <c:v>6.54E-2</c:v>
                </c:pt>
                <c:pt idx="21">
                  <c:v>5.8700000000000002E-2</c:v>
                </c:pt>
                <c:pt idx="22">
                  <c:v>5.1900000000000002E-2</c:v>
                </c:pt>
                <c:pt idx="23">
                  <c:v>4.4900000000000002E-2</c:v>
                </c:pt>
                <c:pt idx="24">
                  <c:v>3.78E-2</c:v>
                </c:pt>
                <c:pt idx="25">
                  <c:v>3.04E-2</c:v>
                </c:pt>
                <c:pt idx="26">
                  <c:v>2.29E-2</c:v>
                </c:pt>
                <c:pt idx="27">
                  <c:v>1.5299999999999999E-2</c:v>
                </c:pt>
                <c:pt idx="28">
                  <c:v>7.7000000000000002E-3</c:v>
                </c:pt>
                <c:pt idx="29">
                  <c:v>0</c:v>
                </c:pt>
              </c:numCache>
            </c:numRef>
          </c:yVal>
          <c:smooth val="0"/>
        </c:ser>
        <c:ser>
          <c:idx val="6"/>
          <c:order val="6"/>
          <c:tx>
            <c:strRef>
              <c:f>'7x5e'!$AC$236</c:f>
              <c:strCache>
                <c:ptCount val="1"/>
                <c:pt idx="0">
                  <c:v>Ct@7000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'7x5e'!$T$240:$T$269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0.28999999999999998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0.88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'7x5e'!$V$240:$V$269</c:f>
              <c:numCache>
                <c:formatCode>General</c:formatCode>
                <c:ptCount val="30"/>
                <c:pt idx="0">
                  <c:v>0.13220000000000001</c:v>
                </c:pt>
                <c:pt idx="1">
                  <c:v>0.1318</c:v>
                </c:pt>
                <c:pt idx="2">
                  <c:v>0.1313</c:v>
                </c:pt>
                <c:pt idx="3">
                  <c:v>0.13070000000000001</c:v>
                </c:pt>
                <c:pt idx="4">
                  <c:v>0.13</c:v>
                </c:pt>
                <c:pt idx="5">
                  <c:v>0.129</c:v>
                </c:pt>
                <c:pt idx="6">
                  <c:v>0.1278</c:v>
                </c:pt>
                <c:pt idx="7">
                  <c:v>0.12620000000000001</c:v>
                </c:pt>
                <c:pt idx="8">
                  <c:v>0.1242</c:v>
                </c:pt>
                <c:pt idx="9">
                  <c:v>0.1217</c:v>
                </c:pt>
                <c:pt idx="10">
                  <c:v>0.1188</c:v>
                </c:pt>
                <c:pt idx="11">
                  <c:v>0.1153</c:v>
                </c:pt>
                <c:pt idx="12">
                  <c:v>0.1114</c:v>
                </c:pt>
                <c:pt idx="13">
                  <c:v>0.1069</c:v>
                </c:pt>
                <c:pt idx="14">
                  <c:v>0.1019</c:v>
                </c:pt>
                <c:pt idx="15">
                  <c:v>9.64E-2</c:v>
                </c:pt>
                <c:pt idx="16">
                  <c:v>9.06E-2</c:v>
                </c:pt>
                <c:pt idx="17">
                  <c:v>8.4500000000000006E-2</c:v>
                </c:pt>
                <c:pt idx="18">
                  <c:v>7.8299999999999995E-2</c:v>
                </c:pt>
                <c:pt idx="19">
                  <c:v>7.1999999999999995E-2</c:v>
                </c:pt>
                <c:pt idx="20">
                  <c:v>6.5500000000000003E-2</c:v>
                </c:pt>
                <c:pt idx="21">
                  <c:v>5.8799999999999998E-2</c:v>
                </c:pt>
                <c:pt idx="22">
                  <c:v>5.1999999999999998E-2</c:v>
                </c:pt>
                <c:pt idx="23">
                  <c:v>4.4999999999999998E-2</c:v>
                </c:pt>
                <c:pt idx="24">
                  <c:v>3.78E-2</c:v>
                </c:pt>
                <c:pt idx="25">
                  <c:v>3.0499999999999999E-2</c:v>
                </c:pt>
                <c:pt idx="26">
                  <c:v>2.3E-2</c:v>
                </c:pt>
                <c:pt idx="27">
                  <c:v>1.54E-2</c:v>
                </c:pt>
                <c:pt idx="28">
                  <c:v>7.7000000000000002E-3</c:v>
                </c:pt>
                <c:pt idx="29">
                  <c:v>0</c:v>
                </c:pt>
              </c:numCache>
            </c:numRef>
          </c:yVal>
          <c:smooth val="0"/>
        </c:ser>
        <c:ser>
          <c:idx val="7"/>
          <c:order val="7"/>
          <c:tx>
            <c:strRef>
              <c:f>'7x5e'!$AC$273</c:f>
              <c:strCache>
                <c:ptCount val="1"/>
                <c:pt idx="0">
                  <c:v>Ct@8000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'7x5e'!$T$277:$T$306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0.53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0.76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'7x5e'!$V$277:$V$306</c:f>
              <c:numCache>
                <c:formatCode>General</c:formatCode>
                <c:ptCount val="30"/>
                <c:pt idx="0">
                  <c:v>0.13220000000000001</c:v>
                </c:pt>
                <c:pt idx="1">
                  <c:v>0.1318</c:v>
                </c:pt>
                <c:pt idx="2">
                  <c:v>0.1313</c:v>
                </c:pt>
                <c:pt idx="3">
                  <c:v>0.13070000000000001</c:v>
                </c:pt>
                <c:pt idx="4">
                  <c:v>0.12989999999999999</c:v>
                </c:pt>
                <c:pt idx="5">
                  <c:v>0.129</c:v>
                </c:pt>
                <c:pt idx="6">
                  <c:v>0.12770000000000001</c:v>
                </c:pt>
                <c:pt idx="7">
                  <c:v>0.12609999999999999</c:v>
                </c:pt>
                <c:pt idx="8">
                  <c:v>0.1241</c:v>
                </c:pt>
                <c:pt idx="9">
                  <c:v>0.1216</c:v>
                </c:pt>
                <c:pt idx="10">
                  <c:v>0.1187</c:v>
                </c:pt>
                <c:pt idx="11">
                  <c:v>0.1152</c:v>
                </c:pt>
                <c:pt idx="12">
                  <c:v>0.11119999999999999</c:v>
                </c:pt>
                <c:pt idx="13">
                  <c:v>0.1067</c:v>
                </c:pt>
                <c:pt idx="14">
                  <c:v>0.1017</c:v>
                </c:pt>
                <c:pt idx="15">
                  <c:v>9.6199999999999994E-2</c:v>
                </c:pt>
                <c:pt idx="16">
                  <c:v>9.0300000000000005E-2</c:v>
                </c:pt>
                <c:pt idx="17">
                  <c:v>8.4199999999999997E-2</c:v>
                </c:pt>
                <c:pt idx="18">
                  <c:v>7.8E-2</c:v>
                </c:pt>
                <c:pt idx="19">
                  <c:v>7.17E-2</c:v>
                </c:pt>
                <c:pt idx="20">
                  <c:v>6.5199999999999994E-2</c:v>
                </c:pt>
                <c:pt idx="21">
                  <c:v>5.8500000000000003E-2</c:v>
                </c:pt>
                <c:pt idx="22">
                  <c:v>5.1700000000000003E-2</c:v>
                </c:pt>
                <c:pt idx="23">
                  <c:v>4.4600000000000001E-2</c:v>
                </c:pt>
                <c:pt idx="24">
                  <c:v>3.7499999999999999E-2</c:v>
                </c:pt>
                <c:pt idx="25">
                  <c:v>3.0099999999999998E-2</c:v>
                </c:pt>
                <c:pt idx="26">
                  <c:v>2.2700000000000001E-2</c:v>
                </c:pt>
                <c:pt idx="27">
                  <c:v>1.52E-2</c:v>
                </c:pt>
                <c:pt idx="28">
                  <c:v>7.6E-3</c:v>
                </c:pt>
                <c:pt idx="29">
                  <c:v>-1E-4</c:v>
                </c:pt>
              </c:numCache>
            </c:numRef>
          </c:yVal>
          <c:smooth val="0"/>
        </c:ser>
        <c:ser>
          <c:idx val="8"/>
          <c:order val="8"/>
          <c:tx>
            <c:strRef>
              <c:f>'7x5e'!$AC$310</c:f>
              <c:strCache>
                <c:ptCount val="1"/>
                <c:pt idx="0">
                  <c:v>Ct@9000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</a:schemeClr>
              </a:solidFill>
              <a:ln w="9525">
                <a:solidFill>
                  <a:schemeClr val="accent3">
                    <a:lumMod val="60000"/>
                  </a:schemeClr>
                </a:solidFill>
              </a:ln>
              <a:effectLst/>
            </c:spPr>
          </c:marker>
          <c:xVal>
            <c:numRef>
              <c:f>'7x5e'!$T$314:$T$343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'7x5e'!$V$314:$V$343</c:f>
              <c:numCache>
                <c:formatCode>General</c:formatCode>
                <c:ptCount val="30"/>
                <c:pt idx="0">
                  <c:v>0.1323</c:v>
                </c:pt>
                <c:pt idx="1">
                  <c:v>0.13189999999999999</c:v>
                </c:pt>
                <c:pt idx="2">
                  <c:v>0.13139999999999999</c:v>
                </c:pt>
                <c:pt idx="3">
                  <c:v>0.1308</c:v>
                </c:pt>
                <c:pt idx="4">
                  <c:v>0.13009999999999999</c:v>
                </c:pt>
                <c:pt idx="5">
                  <c:v>0.12920000000000001</c:v>
                </c:pt>
                <c:pt idx="6">
                  <c:v>0.12790000000000001</c:v>
                </c:pt>
                <c:pt idx="7">
                  <c:v>0.12640000000000001</c:v>
                </c:pt>
                <c:pt idx="8">
                  <c:v>0.1244</c:v>
                </c:pt>
                <c:pt idx="9">
                  <c:v>0.12189999999999999</c:v>
                </c:pt>
                <c:pt idx="10">
                  <c:v>0.11899999999999999</c:v>
                </c:pt>
                <c:pt idx="11">
                  <c:v>0.11559999999999999</c:v>
                </c:pt>
                <c:pt idx="12">
                  <c:v>0.1116</c:v>
                </c:pt>
                <c:pt idx="13">
                  <c:v>0.1071</c:v>
                </c:pt>
                <c:pt idx="14">
                  <c:v>0.1021</c:v>
                </c:pt>
                <c:pt idx="15">
                  <c:v>9.6699999999999994E-2</c:v>
                </c:pt>
                <c:pt idx="16">
                  <c:v>9.0800000000000006E-2</c:v>
                </c:pt>
                <c:pt idx="17">
                  <c:v>8.4699999999999998E-2</c:v>
                </c:pt>
                <c:pt idx="18">
                  <c:v>7.85E-2</c:v>
                </c:pt>
                <c:pt idx="19">
                  <c:v>7.2099999999999997E-2</c:v>
                </c:pt>
                <c:pt idx="20">
                  <c:v>6.5600000000000006E-2</c:v>
                </c:pt>
                <c:pt idx="21">
                  <c:v>5.8900000000000001E-2</c:v>
                </c:pt>
                <c:pt idx="22">
                  <c:v>5.21E-2</c:v>
                </c:pt>
                <c:pt idx="23">
                  <c:v>4.5100000000000001E-2</c:v>
                </c:pt>
                <c:pt idx="24">
                  <c:v>3.7900000000000003E-2</c:v>
                </c:pt>
                <c:pt idx="25">
                  <c:v>3.0599999999999999E-2</c:v>
                </c:pt>
                <c:pt idx="26">
                  <c:v>2.3E-2</c:v>
                </c:pt>
                <c:pt idx="27">
                  <c:v>1.54E-2</c:v>
                </c:pt>
                <c:pt idx="28">
                  <c:v>7.7999999999999996E-3</c:v>
                </c:pt>
                <c:pt idx="29">
                  <c:v>-1E-4</c:v>
                </c:pt>
              </c:numCache>
            </c:numRef>
          </c:yVal>
          <c:smooth val="0"/>
        </c:ser>
        <c:ser>
          <c:idx val="9"/>
          <c:order val="9"/>
          <c:tx>
            <c:strRef>
              <c:f>'7x5e'!$AC$347</c:f>
              <c:strCache>
                <c:ptCount val="1"/>
                <c:pt idx="0">
                  <c:v>Ct@10000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60000"/>
                </a:schemeClr>
              </a:solidFill>
              <a:ln w="9525">
                <a:solidFill>
                  <a:schemeClr val="accent4">
                    <a:lumMod val="6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4">
                    <a:lumMod val="60000"/>
                  </a:schemeClr>
                </a:solidFill>
                <a:prstDash val="sysDot"/>
              </a:ln>
              <a:effectLst/>
            </c:spPr>
            <c:trendlineType val="poly"/>
            <c:order val="4"/>
            <c:dispRSqr val="1"/>
            <c:dispEq val="1"/>
            <c:trendlineLbl>
              <c:layout>
                <c:manualLayout>
                  <c:x val="4.4034776902887138E-2"/>
                  <c:y val="-0.73572543359732345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'7x5e'!$T$351:$T$380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0.28999999999999998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0.88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'7x5e'!$V$351:$V$380</c:f>
              <c:numCache>
                <c:formatCode>General</c:formatCode>
                <c:ptCount val="30"/>
                <c:pt idx="0">
                  <c:v>0.13220000000000001</c:v>
                </c:pt>
                <c:pt idx="1">
                  <c:v>0.13189999999999999</c:v>
                </c:pt>
                <c:pt idx="2">
                  <c:v>0.1313</c:v>
                </c:pt>
                <c:pt idx="3">
                  <c:v>0.13070000000000001</c:v>
                </c:pt>
                <c:pt idx="4">
                  <c:v>0.13</c:v>
                </c:pt>
                <c:pt idx="5">
                  <c:v>0.12909999999999999</c:v>
                </c:pt>
                <c:pt idx="6">
                  <c:v>0.12790000000000001</c:v>
                </c:pt>
                <c:pt idx="7">
                  <c:v>0.1263</c:v>
                </c:pt>
                <c:pt idx="8">
                  <c:v>0.1244</c:v>
                </c:pt>
                <c:pt idx="9">
                  <c:v>0.12189999999999999</c:v>
                </c:pt>
                <c:pt idx="10">
                  <c:v>0.11899999999999999</c:v>
                </c:pt>
                <c:pt idx="11">
                  <c:v>0.11559999999999999</c:v>
                </c:pt>
                <c:pt idx="12">
                  <c:v>0.11169999999999999</c:v>
                </c:pt>
                <c:pt idx="13">
                  <c:v>0.10730000000000001</c:v>
                </c:pt>
                <c:pt idx="14">
                  <c:v>0.1023</c:v>
                </c:pt>
                <c:pt idx="15">
                  <c:v>9.69E-2</c:v>
                </c:pt>
                <c:pt idx="16">
                  <c:v>9.0999999999999998E-2</c:v>
                </c:pt>
                <c:pt idx="17">
                  <c:v>8.4900000000000003E-2</c:v>
                </c:pt>
                <c:pt idx="18">
                  <c:v>7.8700000000000006E-2</c:v>
                </c:pt>
                <c:pt idx="19">
                  <c:v>7.2300000000000003E-2</c:v>
                </c:pt>
                <c:pt idx="20">
                  <c:v>6.5699999999999995E-2</c:v>
                </c:pt>
                <c:pt idx="21">
                  <c:v>5.91E-2</c:v>
                </c:pt>
                <c:pt idx="22">
                  <c:v>5.2200000000000003E-2</c:v>
                </c:pt>
                <c:pt idx="23">
                  <c:v>4.5199999999999997E-2</c:v>
                </c:pt>
                <c:pt idx="24">
                  <c:v>3.7999999999999999E-2</c:v>
                </c:pt>
                <c:pt idx="25">
                  <c:v>3.0700000000000002E-2</c:v>
                </c:pt>
                <c:pt idx="26">
                  <c:v>2.3199999999999998E-2</c:v>
                </c:pt>
                <c:pt idx="27">
                  <c:v>1.55E-2</c:v>
                </c:pt>
                <c:pt idx="28">
                  <c:v>7.7999999999999996E-3</c:v>
                </c:pt>
                <c:pt idx="29">
                  <c:v>0</c:v>
                </c:pt>
              </c:numCache>
            </c:numRef>
          </c:yVal>
          <c:smooth val="0"/>
        </c:ser>
        <c:ser>
          <c:idx val="10"/>
          <c:order val="10"/>
          <c:tx>
            <c:strRef>
              <c:f>'7x5e'!$AD$14</c:f>
              <c:strCache>
                <c:ptCount val="1"/>
                <c:pt idx="0">
                  <c:v>Cp@1000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60000"/>
                </a:schemeClr>
              </a:solidFill>
              <a:ln w="9525">
                <a:solidFill>
                  <a:schemeClr val="accent5">
                    <a:lumMod val="60000"/>
                  </a:schemeClr>
                </a:solidFill>
              </a:ln>
              <a:effectLst/>
            </c:spPr>
          </c:marker>
          <c:xVal>
            <c:numRef>
              <c:f>'7x5e'!$T$18:$T$47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0.53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0.76</c:v>
                </c:pt>
                <c:pt idx="24">
                  <c:v>0.79</c:v>
                </c:pt>
                <c:pt idx="25">
                  <c:v>0.82</c:v>
                </c:pt>
                <c:pt idx="26">
                  <c:v>0.86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'7x5e'!$W$18:$W$47</c:f>
              <c:numCache>
                <c:formatCode>General</c:formatCode>
                <c:ptCount val="30"/>
                <c:pt idx="0">
                  <c:v>6.59E-2</c:v>
                </c:pt>
                <c:pt idx="1">
                  <c:v>6.7000000000000004E-2</c:v>
                </c:pt>
                <c:pt idx="2">
                  <c:v>6.8199999999999997E-2</c:v>
                </c:pt>
                <c:pt idx="3">
                  <c:v>6.93E-2</c:v>
                </c:pt>
                <c:pt idx="4">
                  <c:v>7.0499999999999993E-2</c:v>
                </c:pt>
                <c:pt idx="5">
                  <c:v>7.1499999999999994E-2</c:v>
                </c:pt>
                <c:pt idx="6">
                  <c:v>7.2499999999999995E-2</c:v>
                </c:pt>
                <c:pt idx="7">
                  <c:v>7.3300000000000004E-2</c:v>
                </c:pt>
                <c:pt idx="8">
                  <c:v>7.3899999999999993E-2</c:v>
                </c:pt>
                <c:pt idx="9">
                  <c:v>7.4300000000000005E-2</c:v>
                </c:pt>
                <c:pt idx="10">
                  <c:v>7.4300000000000005E-2</c:v>
                </c:pt>
                <c:pt idx="11">
                  <c:v>7.4099999999999999E-2</c:v>
                </c:pt>
                <c:pt idx="12">
                  <c:v>7.3499999999999996E-2</c:v>
                </c:pt>
                <c:pt idx="13">
                  <c:v>7.2599999999999998E-2</c:v>
                </c:pt>
                <c:pt idx="14">
                  <c:v>7.1300000000000002E-2</c:v>
                </c:pt>
                <c:pt idx="15">
                  <c:v>6.9599999999999995E-2</c:v>
                </c:pt>
                <c:pt idx="16">
                  <c:v>6.7400000000000002E-2</c:v>
                </c:pt>
                <c:pt idx="17">
                  <c:v>6.5000000000000002E-2</c:v>
                </c:pt>
                <c:pt idx="18">
                  <c:v>6.2399999999999997E-2</c:v>
                </c:pt>
                <c:pt idx="19">
                  <c:v>5.9400000000000001E-2</c:v>
                </c:pt>
                <c:pt idx="20">
                  <c:v>5.6000000000000001E-2</c:v>
                </c:pt>
                <c:pt idx="21">
                  <c:v>5.21E-2</c:v>
                </c:pt>
                <c:pt idx="22">
                  <c:v>4.7800000000000002E-2</c:v>
                </c:pt>
                <c:pt idx="23">
                  <c:v>4.2900000000000001E-2</c:v>
                </c:pt>
                <c:pt idx="24">
                  <c:v>3.7600000000000001E-2</c:v>
                </c:pt>
                <c:pt idx="25">
                  <c:v>3.1800000000000002E-2</c:v>
                </c:pt>
                <c:pt idx="26">
                  <c:v>2.5700000000000001E-2</c:v>
                </c:pt>
                <c:pt idx="27">
                  <c:v>1.9300000000000001E-2</c:v>
                </c:pt>
                <c:pt idx="28">
                  <c:v>1.2500000000000001E-2</c:v>
                </c:pt>
                <c:pt idx="29">
                  <c:v>5.8999999999999999E-3</c:v>
                </c:pt>
              </c:numCache>
            </c:numRef>
          </c:yVal>
          <c:smooth val="0"/>
        </c:ser>
        <c:ser>
          <c:idx val="11"/>
          <c:order val="11"/>
          <c:tx>
            <c:strRef>
              <c:f>'7x5e'!$AD$51</c:f>
              <c:strCache>
                <c:ptCount val="1"/>
                <c:pt idx="0">
                  <c:v>Cp@2000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60000"/>
                </a:schemeClr>
              </a:solidFill>
              <a:ln w="9525">
                <a:solidFill>
                  <a:schemeClr val="accent6">
                    <a:lumMod val="60000"/>
                  </a:schemeClr>
                </a:solidFill>
              </a:ln>
              <a:effectLst/>
            </c:spPr>
          </c:marker>
          <c:xVal>
            <c:numRef>
              <c:f>'7x5e'!$T$55:$T$84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0.53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0.76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'7x5e'!$W$55:$W$84</c:f>
              <c:numCache>
                <c:formatCode>General</c:formatCode>
                <c:ptCount val="30"/>
                <c:pt idx="0">
                  <c:v>6.59E-2</c:v>
                </c:pt>
                <c:pt idx="1">
                  <c:v>6.7100000000000007E-2</c:v>
                </c:pt>
                <c:pt idx="2">
                  <c:v>6.8199999999999997E-2</c:v>
                </c:pt>
                <c:pt idx="3">
                  <c:v>6.9400000000000003E-2</c:v>
                </c:pt>
                <c:pt idx="4">
                  <c:v>7.0499999999999993E-2</c:v>
                </c:pt>
                <c:pt idx="5">
                  <c:v>7.1599999999999997E-2</c:v>
                </c:pt>
                <c:pt idx="6">
                  <c:v>7.2599999999999998E-2</c:v>
                </c:pt>
                <c:pt idx="7">
                  <c:v>7.3400000000000007E-2</c:v>
                </c:pt>
                <c:pt idx="8">
                  <c:v>7.3999999999999996E-2</c:v>
                </c:pt>
                <c:pt idx="9">
                  <c:v>7.4300000000000005E-2</c:v>
                </c:pt>
                <c:pt idx="10">
                  <c:v>7.4399999999999994E-2</c:v>
                </c:pt>
                <c:pt idx="11">
                  <c:v>7.4200000000000002E-2</c:v>
                </c:pt>
                <c:pt idx="12">
                  <c:v>7.3599999999999999E-2</c:v>
                </c:pt>
                <c:pt idx="13">
                  <c:v>7.2700000000000001E-2</c:v>
                </c:pt>
                <c:pt idx="14">
                  <c:v>7.1400000000000005E-2</c:v>
                </c:pt>
                <c:pt idx="15">
                  <c:v>6.9699999999999998E-2</c:v>
                </c:pt>
                <c:pt idx="16">
                  <c:v>6.7500000000000004E-2</c:v>
                </c:pt>
                <c:pt idx="17">
                  <c:v>6.5100000000000005E-2</c:v>
                </c:pt>
                <c:pt idx="18">
                  <c:v>6.25E-2</c:v>
                </c:pt>
                <c:pt idx="19">
                  <c:v>5.9499999999999997E-2</c:v>
                </c:pt>
                <c:pt idx="20">
                  <c:v>5.6099999999999997E-2</c:v>
                </c:pt>
                <c:pt idx="21">
                  <c:v>5.2299999999999999E-2</c:v>
                </c:pt>
                <c:pt idx="22">
                  <c:v>4.8000000000000001E-2</c:v>
                </c:pt>
                <c:pt idx="23">
                  <c:v>4.3099999999999999E-2</c:v>
                </c:pt>
                <c:pt idx="24">
                  <c:v>3.78E-2</c:v>
                </c:pt>
                <c:pt idx="25">
                  <c:v>3.2000000000000001E-2</c:v>
                </c:pt>
                <c:pt idx="26">
                  <c:v>2.58E-2</c:v>
                </c:pt>
                <c:pt idx="27">
                  <c:v>1.9400000000000001E-2</c:v>
                </c:pt>
                <c:pt idx="28">
                  <c:v>1.2500000000000001E-2</c:v>
                </c:pt>
                <c:pt idx="29">
                  <c:v>6.0000000000000001E-3</c:v>
                </c:pt>
              </c:numCache>
            </c:numRef>
          </c:yVal>
          <c:smooth val="0"/>
        </c:ser>
        <c:ser>
          <c:idx val="12"/>
          <c:order val="12"/>
          <c:tx>
            <c:strRef>
              <c:f>'7x5e'!$AD$88</c:f>
              <c:strCache>
                <c:ptCount val="1"/>
                <c:pt idx="0">
                  <c:v>Cp@3000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80000"/>
                  <a:lumOff val="20000"/>
                </a:schemeClr>
              </a:solidFill>
              <a:ln w="9525">
                <a:solidFill>
                  <a:schemeClr val="accent1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'7x5e'!$T$92:$T$121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'7x5e'!$W$92:$W$121</c:f>
              <c:numCache>
                <c:formatCode>General</c:formatCode>
                <c:ptCount val="30"/>
                <c:pt idx="0">
                  <c:v>6.59E-2</c:v>
                </c:pt>
                <c:pt idx="1">
                  <c:v>6.7000000000000004E-2</c:v>
                </c:pt>
                <c:pt idx="2">
                  <c:v>6.8099999999999994E-2</c:v>
                </c:pt>
                <c:pt idx="3">
                  <c:v>6.93E-2</c:v>
                </c:pt>
                <c:pt idx="4">
                  <c:v>7.0400000000000004E-2</c:v>
                </c:pt>
                <c:pt idx="5">
                  <c:v>7.1499999999999994E-2</c:v>
                </c:pt>
                <c:pt idx="6">
                  <c:v>7.2499999999999995E-2</c:v>
                </c:pt>
                <c:pt idx="7">
                  <c:v>7.3300000000000004E-2</c:v>
                </c:pt>
                <c:pt idx="8">
                  <c:v>7.3800000000000004E-2</c:v>
                </c:pt>
                <c:pt idx="9">
                  <c:v>7.4200000000000002E-2</c:v>
                </c:pt>
                <c:pt idx="10">
                  <c:v>7.4300000000000005E-2</c:v>
                </c:pt>
                <c:pt idx="11">
                  <c:v>7.4099999999999999E-2</c:v>
                </c:pt>
                <c:pt idx="12">
                  <c:v>7.3599999999999999E-2</c:v>
                </c:pt>
                <c:pt idx="13">
                  <c:v>7.2700000000000001E-2</c:v>
                </c:pt>
                <c:pt idx="14">
                  <c:v>7.1400000000000005E-2</c:v>
                </c:pt>
                <c:pt idx="15">
                  <c:v>6.9699999999999998E-2</c:v>
                </c:pt>
                <c:pt idx="16">
                  <c:v>6.7599999999999993E-2</c:v>
                </c:pt>
                <c:pt idx="17">
                  <c:v>6.5199999999999994E-2</c:v>
                </c:pt>
                <c:pt idx="18">
                  <c:v>6.2600000000000003E-2</c:v>
                </c:pt>
                <c:pt idx="19">
                  <c:v>5.96E-2</c:v>
                </c:pt>
                <c:pt idx="20">
                  <c:v>5.6300000000000003E-2</c:v>
                </c:pt>
                <c:pt idx="21">
                  <c:v>5.2499999999999998E-2</c:v>
                </c:pt>
                <c:pt idx="22">
                  <c:v>4.82E-2</c:v>
                </c:pt>
                <c:pt idx="23">
                  <c:v>4.3400000000000001E-2</c:v>
                </c:pt>
                <c:pt idx="24">
                  <c:v>3.8100000000000002E-2</c:v>
                </c:pt>
                <c:pt idx="25">
                  <c:v>3.2300000000000002E-2</c:v>
                </c:pt>
                <c:pt idx="26">
                  <c:v>2.6100000000000002E-2</c:v>
                </c:pt>
                <c:pt idx="27">
                  <c:v>1.9599999999999999E-2</c:v>
                </c:pt>
                <c:pt idx="28">
                  <c:v>1.2699999999999999E-2</c:v>
                </c:pt>
                <c:pt idx="29">
                  <c:v>6.1000000000000004E-3</c:v>
                </c:pt>
              </c:numCache>
            </c:numRef>
          </c:yVal>
          <c:smooth val="0"/>
        </c:ser>
        <c:ser>
          <c:idx val="13"/>
          <c:order val="13"/>
          <c:tx>
            <c:strRef>
              <c:f>'7x5e'!$AD$125</c:f>
              <c:strCache>
                <c:ptCount val="1"/>
                <c:pt idx="0">
                  <c:v>Cp@4000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80000"/>
                  <a:lumOff val="20000"/>
                </a:schemeClr>
              </a:solidFill>
              <a:ln w="9525">
                <a:solidFill>
                  <a:schemeClr val="accent2">
                    <a:lumMod val="80000"/>
                    <a:lumOff val="2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>
                    <a:lumMod val="80000"/>
                    <a:lumOff val="20000"/>
                  </a:schemeClr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trendline>
            <c:spPr>
              <a:ln w="19050" cap="rnd">
                <a:solidFill>
                  <a:schemeClr val="accent2">
                    <a:lumMod val="80000"/>
                    <a:lumOff val="20000"/>
                  </a:schemeClr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trendline>
            <c:spPr>
              <a:ln w="19050" cap="rnd">
                <a:solidFill>
                  <a:schemeClr val="accent2">
                    <a:lumMod val="80000"/>
                    <a:lumOff val="20000"/>
                  </a:schemeClr>
                </a:solidFill>
                <a:prstDash val="sysDot"/>
              </a:ln>
              <a:effectLst/>
            </c:spPr>
            <c:trendlineType val="poly"/>
            <c:order val="4"/>
            <c:dispRSqr val="1"/>
            <c:dispEq val="1"/>
            <c:trendlineLbl>
              <c:layout>
                <c:manualLayout>
                  <c:x val="-0.41404135461261077"/>
                  <c:y val="-0.2940071972721071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'7x5e'!$T$129:$T$158</c:f>
              <c:numCache>
                <c:formatCode>General</c:formatCode>
                <c:ptCount val="30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  <c:pt idx="29">
                  <c:v>0.95</c:v>
                </c:pt>
              </c:numCache>
            </c:numRef>
          </c:xVal>
          <c:yVal>
            <c:numRef>
              <c:f>'7x5e'!$W$129:$W$158</c:f>
              <c:numCache>
                <c:formatCode>General</c:formatCode>
                <c:ptCount val="30"/>
                <c:pt idx="0">
                  <c:v>6.59E-2</c:v>
                </c:pt>
                <c:pt idx="1">
                  <c:v>6.7000000000000004E-2</c:v>
                </c:pt>
                <c:pt idx="2">
                  <c:v>6.8199999999999997E-2</c:v>
                </c:pt>
                <c:pt idx="3">
                  <c:v>6.93E-2</c:v>
                </c:pt>
                <c:pt idx="4">
                  <c:v>7.0499999999999993E-2</c:v>
                </c:pt>
                <c:pt idx="5">
                  <c:v>7.1599999999999997E-2</c:v>
                </c:pt>
                <c:pt idx="6">
                  <c:v>7.2499999999999995E-2</c:v>
                </c:pt>
                <c:pt idx="7">
                  <c:v>7.3300000000000004E-2</c:v>
                </c:pt>
                <c:pt idx="8">
                  <c:v>7.3899999999999993E-2</c:v>
                </c:pt>
                <c:pt idx="9">
                  <c:v>7.4300000000000005E-2</c:v>
                </c:pt>
                <c:pt idx="10">
                  <c:v>7.4399999999999994E-2</c:v>
                </c:pt>
                <c:pt idx="11">
                  <c:v>7.4200000000000002E-2</c:v>
                </c:pt>
                <c:pt idx="12">
                  <c:v>7.3700000000000002E-2</c:v>
                </c:pt>
                <c:pt idx="13">
                  <c:v>7.2800000000000004E-2</c:v>
                </c:pt>
                <c:pt idx="14">
                  <c:v>7.1499999999999994E-2</c:v>
                </c:pt>
                <c:pt idx="15">
                  <c:v>6.9800000000000001E-2</c:v>
                </c:pt>
                <c:pt idx="16">
                  <c:v>6.7699999999999996E-2</c:v>
                </c:pt>
                <c:pt idx="17">
                  <c:v>6.5299999999999997E-2</c:v>
                </c:pt>
                <c:pt idx="18">
                  <c:v>6.2700000000000006E-2</c:v>
                </c:pt>
                <c:pt idx="19">
                  <c:v>5.9700000000000003E-2</c:v>
                </c:pt>
                <c:pt idx="20">
                  <c:v>5.6399999999999999E-2</c:v>
                </c:pt>
                <c:pt idx="21">
                  <c:v>5.2600000000000001E-2</c:v>
                </c:pt>
                <c:pt idx="22">
                  <c:v>4.8300000000000003E-2</c:v>
                </c:pt>
                <c:pt idx="23">
                  <c:v>4.3400000000000001E-2</c:v>
                </c:pt>
                <c:pt idx="24">
                  <c:v>3.8100000000000002E-2</c:v>
                </c:pt>
                <c:pt idx="25">
                  <c:v>3.2300000000000002E-2</c:v>
                </c:pt>
                <c:pt idx="26">
                  <c:v>2.5999999999999999E-2</c:v>
                </c:pt>
                <c:pt idx="27">
                  <c:v>1.95E-2</c:v>
                </c:pt>
                <c:pt idx="28">
                  <c:v>1.2500000000000001E-2</c:v>
                </c:pt>
                <c:pt idx="29">
                  <c:v>6.0000000000000001E-3</c:v>
                </c:pt>
              </c:numCache>
            </c:numRef>
          </c:yVal>
          <c:smooth val="0"/>
        </c:ser>
        <c:ser>
          <c:idx val="14"/>
          <c:order val="14"/>
          <c:tx>
            <c:strRef>
              <c:f>'7x5e'!$AD$347</c:f>
              <c:strCache>
                <c:ptCount val="1"/>
                <c:pt idx="0">
                  <c:v>Cp@10000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80000"/>
                  <a:lumOff val="20000"/>
                </a:schemeClr>
              </a:solidFill>
              <a:ln w="9525">
                <a:solidFill>
                  <a:schemeClr val="accent3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'7x5e'!$T$351</c:f>
              <c:numCache>
                <c:formatCode>General</c:formatCode>
                <c:ptCount val="1"/>
                <c:pt idx="0">
                  <c:v>0</c:v>
                </c:pt>
              </c:numCache>
            </c:numRef>
          </c:xVal>
          <c:yVal>
            <c:numRef>
              <c:f>'7x5e'!$W$351:$W$380</c:f>
              <c:numCache>
                <c:formatCode>General</c:formatCode>
                <c:ptCount val="30"/>
                <c:pt idx="0">
                  <c:v>6.54E-2</c:v>
                </c:pt>
                <c:pt idx="1">
                  <c:v>6.6600000000000006E-2</c:v>
                </c:pt>
                <c:pt idx="2">
                  <c:v>6.7799999999999999E-2</c:v>
                </c:pt>
                <c:pt idx="3">
                  <c:v>6.9099999999999995E-2</c:v>
                </c:pt>
                <c:pt idx="4">
                  <c:v>7.0300000000000001E-2</c:v>
                </c:pt>
                <c:pt idx="5">
                  <c:v>7.1499999999999994E-2</c:v>
                </c:pt>
                <c:pt idx="6">
                  <c:v>7.2499999999999995E-2</c:v>
                </c:pt>
                <c:pt idx="7">
                  <c:v>7.3400000000000007E-2</c:v>
                </c:pt>
                <c:pt idx="8">
                  <c:v>7.4099999999999999E-2</c:v>
                </c:pt>
                <c:pt idx="9">
                  <c:v>7.4499999999999997E-2</c:v>
                </c:pt>
                <c:pt idx="10">
                  <c:v>7.4700000000000003E-2</c:v>
                </c:pt>
                <c:pt idx="11">
                  <c:v>7.4499999999999997E-2</c:v>
                </c:pt>
                <c:pt idx="12">
                  <c:v>7.3999999999999996E-2</c:v>
                </c:pt>
                <c:pt idx="13">
                  <c:v>7.3099999999999998E-2</c:v>
                </c:pt>
                <c:pt idx="14">
                  <c:v>7.1800000000000003E-2</c:v>
                </c:pt>
                <c:pt idx="15">
                  <c:v>7.0099999999999996E-2</c:v>
                </c:pt>
                <c:pt idx="16">
                  <c:v>6.7900000000000002E-2</c:v>
                </c:pt>
                <c:pt idx="17">
                  <c:v>6.5500000000000003E-2</c:v>
                </c:pt>
                <c:pt idx="18">
                  <c:v>6.2700000000000006E-2</c:v>
                </c:pt>
                <c:pt idx="19">
                  <c:v>5.9700000000000003E-2</c:v>
                </c:pt>
                <c:pt idx="20">
                  <c:v>5.62E-2</c:v>
                </c:pt>
                <c:pt idx="21">
                  <c:v>5.2400000000000002E-2</c:v>
                </c:pt>
                <c:pt idx="22">
                  <c:v>4.8000000000000001E-2</c:v>
                </c:pt>
                <c:pt idx="23">
                  <c:v>4.3299999999999998E-2</c:v>
                </c:pt>
                <c:pt idx="24">
                  <c:v>3.7999999999999999E-2</c:v>
                </c:pt>
                <c:pt idx="25">
                  <c:v>3.2199999999999999E-2</c:v>
                </c:pt>
                <c:pt idx="26">
                  <c:v>2.5999999999999999E-2</c:v>
                </c:pt>
                <c:pt idx="27">
                  <c:v>1.9400000000000001E-2</c:v>
                </c:pt>
                <c:pt idx="28">
                  <c:v>1.24E-2</c:v>
                </c:pt>
                <c:pt idx="29">
                  <c:v>5.7999999999999996E-3</c:v>
                </c:pt>
              </c:numCache>
            </c:numRef>
          </c:yVal>
          <c:smooth val="0"/>
        </c:ser>
        <c:ser>
          <c:idx val="15"/>
          <c:order val="15"/>
          <c:tx>
            <c:strRef>
              <c:f>'7x5e'!$AE$14</c:f>
              <c:strCache>
                <c:ptCount val="1"/>
                <c:pt idx="0">
                  <c:v>Kq@1000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>
                  <a:lumMod val="80000"/>
                  <a:lumOff val="20000"/>
                </a:schemeClr>
              </a:solidFill>
              <a:ln w="9525">
                <a:solidFill>
                  <a:schemeClr val="accent4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'7x5e'!$T$18:$T$46</c:f>
              <c:numCache>
                <c:formatCode>General</c:formatCode>
                <c:ptCount val="29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0.53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0.76</c:v>
                </c:pt>
                <c:pt idx="24">
                  <c:v>0.79</c:v>
                </c:pt>
                <c:pt idx="25">
                  <c:v>0.82</c:v>
                </c:pt>
                <c:pt idx="26">
                  <c:v>0.86</c:v>
                </c:pt>
                <c:pt idx="27">
                  <c:v>0.89</c:v>
                </c:pt>
                <c:pt idx="28">
                  <c:v>0.92</c:v>
                </c:pt>
              </c:numCache>
            </c:numRef>
          </c:xVal>
          <c:yVal>
            <c:numRef>
              <c:f>'7x5e'!$AF$18:$AF$46</c:f>
              <c:numCache>
                <c:formatCode>General</c:formatCode>
                <c:ptCount val="29"/>
                <c:pt idx="0">
                  <c:v>1.1305714285714285E-2</c:v>
                </c:pt>
                <c:pt idx="1">
                  <c:v>1.1271428571428576E-2</c:v>
                </c:pt>
                <c:pt idx="2">
                  <c:v>1.1228571428571432E-2</c:v>
                </c:pt>
                <c:pt idx="3">
                  <c:v>1.1168571428571429E-2</c:v>
                </c:pt>
                <c:pt idx="4">
                  <c:v>1.1108571428571429E-2</c:v>
                </c:pt>
                <c:pt idx="5">
                  <c:v>1.1022857142857143E-2</c:v>
                </c:pt>
                <c:pt idx="6">
                  <c:v>1.0911428571428574E-2</c:v>
                </c:pt>
                <c:pt idx="7">
                  <c:v>1.0765714285714286E-2</c:v>
                </c:pt>
                <c:pt idx="8">
                  <c:v>1.1771428571428577E-2</c:v>
                </c:pt>
                <c:pt idx="9">
                  <c:v>1.1533333333333336E-2</c:v>
                </c:pt>
                <c:pt idx="10">
                  <c:v>1.1247619047619051E-2</c:v>
                </c:pt>
                <c:pt idx="11">
                  <c:v>1.0914285714285717E-2</c:v>
                </c:pt>
                <c:pt idx="12">
                  <c:v>1.1850000000000003E-2</c:v>
                </c:pt>
                <c:pt idx="13">
                  <c:v>1.1367857142857147E-2</c:v>
                </c:pt>
                <c:pt idx="14">
                  <c:v>1.083214285714286E-2</c:v>
                </c:pt>
                <c:pt idx="15">
                  <c:v>1.169387755102041E-2</c:v>
                </c:pt>
                <c:pt idx="16">
                  <c:v>1.0971428571428575E-2</c:v>
                </c:pt>
                <c:pt idx="17">
                  <c:v>1.1928571428571434E-2</c:v>
                </c:pt>
                <c:pt idx="18">
                  <c:v>9.2023809523809532E-3</c:v>
                </c:pt>
                <c:pt idx="19">
                  <c:v>1.0142857142857143E-2</c:v>
                </c:pt>
                <c:pt idx="20">
                  <c:v>9.2142857142857183E-3</c:v>
                </c:pt>
                <c:pt idx="21">
                  <c:v>8.2714285714285737E-3</c:v>
                </c:pt>
                <c:pt idx="22">
                  <c:v>7.3000000000000009E-3</c:v>
                </c:pt>
                <c:pt idx="23">
                  <c:v>8.3999999999999995E-3</c:v>
                </c:pt>
                <c:pt idx="24">
                  <c:v>5.271428571428571E-3</c:v>
                </c:pt>
                <c:pt idx="25">
                  <c:v>6.3642857142857156E-3</c:v>
                </c:pt>
                <c:pt idx="26">
                  <c:v>3.2000000000000002E-3</c:v>
                </c:pt>
                <c:pt idx="27">
                  <c:v>4.2857142857142859E-3</c:v>
                </c:pt>
                <c:pt idx="28">
                  <c:v>1.0857142857142858E-3</c:v>
                </c:pt>
              </c:numCache>
            </c:numRef>
          </c:yVal>
          <c:smooth val="0"/>
        </c:ser>
        <c:ser>
          <c:idx val="16"/>
          <c:order val="16"/>
          <c:tx>
            <c:strRef>
              <c:f>'7x5e'!$AE$51</c:f>
              <c:strCache>
                <c:ptCount val="1"/>
                <c:pt idx="0">
                  <c:v>Kq@2000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>
                  <a:lumMod val="80000"/>
                  <a:lumOff val="20000"/>
                </a:schemeClr>
              </a:solidFill>
              <a:ln w="9525">
                <a:solidFill>
                  <a:schemeClr val="accent5">
                    <a:lumMod val="80000"/>
                    <a:lumOff val="20000"/>
                  </a:schemeClr>
                </a:solidFill>
              </a:ln>
              <a:effectLst/>
            </c:spPr>
          </c:marker>
          <c:xVal>
            <c:numRef>
              <c:f>'7x5e'!$T$55:$T$83</c:f>
              <c:numCache>
                <c:formatCode>General</c:formatCode>
                <c:ptCount val="29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0.3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0.53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0.76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0.89</c:v>
                </c:pt>
                <c:pt idx="28">
                  <c:v>0.92</c:v>
                </c:pt>
              </c:numCache>
            </c:numRef>
          </c:xVal>
          <c:yVal>
            <c:numRef>
              <c:f>'7x5e'!$AF$55:$AF$83</c:f>
              <c:numCache>
                <c:formatCode>General</c:formatCode>
                <c:ptCount val="29"/>
                <c:pt idx="0">
                  <c:v>1.0371428571428575E-2</c:v>
                </c:pt>
                <c:pt idx="1">
                  <c:v>1.0810000000000002E-2</c:v>
                </c:pt>
                <c:pt idx="2">
                  <c:v>1.0768928571428572E-2</c:v>
                </c:pt>
                <c:pt idx="3">
                  <c:v>1.1185714285714288E-2</c:v>
                </c:pt>
                <c:pt idx="4">
                  <c:v>1.1117142857142862E-2</c:v>
                </c:pt>
                <c:pt idx="5">
                  <c:v>1.1314285714285718E-2</c:v>
                </c:pt>
                <c:pt idx="6">
                  <c:v>1.1666666666666672E-2</c:v>
                </c:pt>
                <c:pt idx="7">
                  <c:v>1.1823308270676694E-2</c:v>
                </c:pt>
                <c:pt idx="8">
                  <c:v>1.1635338345864662E-2</c:v>
                </c:pt>
                <c:pt idx="9">
                  <c:v>1.1698841698841701E-2</c:v>
                </c:pt>
                <c:pt idx="10">
                  <c:v>1.1726190476190477E-2</c:v>
                </c:pt>
                <c:pt idx="11">
                  <c:v>1.1714285714285715E-2</c:v>
                </c:pt>
                <c:pt idx="12">
                  <c:v>1.1638655462184873E-2</c:v>
                </c:pt>
                <c:pt idx="13">
                  <c:v>1.1504329004329008E-2</c:v>
                </c:pt>
                <c:pt idx="14">
                  <c:v>1.1203686635944702E-2</c:v>
                </c:pt>
                <c:pt idx="15">
                  <c:v>1.1326108374384237E-2</c:v>
                </c:pt>
                <c:pt idx="16">
                  <c:v>1.0940211640211642E-2</c:v>
                </c:pt>
                <c:pt idx="17">
                  <c:v>1.0129670329670331E-2</c:v>
                </c:pt>
                <c:pt idx="18">
                  <c:v>9.700000000000002E-3</c:v>
                </c:pt>
                <c:pt idx="19">
                  <c:v>9.2467532467532514E-3</c:v>
                </c:pt>
                <c:pt idx="20">
                  <c:v>8.7807142857142858E-3</c:v>
                </c:pt>
                <c:pt idx="21">
                  <c:v>8.3000000000000018E-3</c:v>
                </c:pt>
                <c:pt idx="22">
                  <c:v>7.32857142857143E-3</c:v>
                </c:pt>
                <c:pt idx="23">
                  <c:v>6.7806122448979588E-3</c:v>
                </c:pt>
                <c:pt idx="24">
                  <c:v>6.280519480519481E-3</c:v>
                </c:pt>
                <c:pt idx="25">
                  <c:v>5.2206349206349208E-3</c:v>
                </c:pt>
                <c:pt idx="26">
                  <c:v>4.1326530612244899E-3</c:v>
                </c:pt>
                <c:pt idx="27">
                  <c:v>3.0200000000000001E-3</c:v>
                </c:pt>
                <c:pt idx="28">
                  <c:v>2.1714285714285715E-3</c:v>
                </c:pt>
              </c:numCache>
            </c:numRef>
          </c:yVal>
          <c:smooth val="0"/>
        </c:ser>
        <c:ser>
          <c:idx val="17"/>
          <c:order val="17"/>
          <c:tx>
            <c:strRef>
              <c:f>'7x5e'!$AE$347</c:f>
              <c:strCache>
                <c:ptCount val="1"/>
                <c:pt idx="0">
                  <c:v>Kq@10000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>
                  <a:lumMod val="80000"/>
                  <a:lumOff val="20000"/>
                </a:schemeClr>
              </a:solidFill>
              <a:ln w="9525">
                <a:solidFill>
                  <a:schemeClr val="accent6">
                    <a:lumMod val="80000"/>
                    <a:lumOff val="20000"/>
                  </a:schemeClr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6">
                    <a:lumMod val="80000"/>
                    <a:lumOff val="20000"/>
                  </a:schemeClr>
                </a:solidFill>
                <a:prstDash val="sysDot"/>
              </a:ln>
              <a:effectLst/>
            </c:spPr>
            <c:trendlineType val="poly"/>
            <c:order val="4"/>
            <c:dispRSqr val="1"/>
            <c:dispEq val="1"/>
            <c:trendlineLbl>
              <c:layout>
                <c:manualLayout>
                  <c:x val="-0.18485818170750945"/>
                  <c:y val="0.16203998850625748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'7x5e'!$T$351:$T$379</c:f>
              <c:numCache>
                <c:formatCode>General</c:formatCode>
                <c:ptCount val="29"/>
                <c:pt idx="0">
                  <c:v>0</c:v>
                </c:pt>
                <c:pt idx="1">
                  <c:v>0.03</c:v>
                </c:pt>
                <c:pt idx="2">
                  <c:v>7.0000000000000007E-2</c:v>
                </c:pt>
                <c:pt idx="3">
                  <c:v>0.1</c:v>
                </c:pt>
                <c:pt idx="4">
                  <c:v>0.13</c:v>
                </c:pt>
                <c:pt idx="5">
                  <c:v>0.16</c:v>
                </c:pt>
                <c:pt idx="6">
                  <c:v>0.2</c:v>
                </c:pt>
                <c:pt idx="7">
                  <c:v>0.23</c:v>
                </c:pt>
                <c:pt idx="8">
                  <c:v>0.26</c:v>
                </c:pt>
                <c:pt idx="9">
                  <c:v>0.28999999999999998</c:v>
                </c:pt>
                <c:pt idx="10">
                  <c:v>0.33</c:v>
                </c:pt>
                <c:pt idx="11">
                  <c:v>0.36</c:v>
                </c:pt>
                <c:pt idx="12">
                  <c:v>0.39</c:v>
                </c:pt>
                <c:pt idx="13">
                  <c:v>0.43</c:v>
                </c:pt>
                <c:pt idx="14">
                  <c:v>0.46</c:v>
                </c:pt>
                <c:pt idx="15">
                  <c:v>0.49</c:v>
                </c:pt>
                <c:pt idx="16">
                  <c:v>0.52</c:v>
                </c:pt>
                <c:pt idx="17">
                  <c:v>0.56000000000000005</c:v>
                </c:pt>
                <c:pt idx="18">
                  <c:v>0.59</c:v>
                </c:pt>
                <c:pt idx="19">
                  <c:v>0.62</c:v>
                </c:pt>
                <c:pt idx="20">
                  <c:v>0.66</c:v>
                </c:pt>
                <c:pt idx="21">
                  <c:v>0.69</c:v>
                </c:pt>
                <c:pt idx="22">
                  <c:v>0.72</c:v>
                </c:pt>
                <c:pt idx="23">
                  <c:v>0.75</c:v>
                </c:pt>
                <c:pt idx="24">
                  <c:v>0.79</c:v>
                </c:pt>
                <c:pt idx="25">
                  <c:v>0.82</c:v>
                </c:pt>
                <c:pt idx="26">
                  <c:v>0.85</c:v>
                </c:pt>
                <c:pt idx="27">
                  <c:v>0.88</c:v>
                </c:pt>
                <c:pt idx="28">
                  <c:v>0.92</c:v>
                </c:pt>
              </c:numCache>
            </c:numRef>
          </c:xVal>
          <c:yVal>
            <c:numRef>
              <c:f>'7x5e'!$AF$351:$AF$379</c:f>
              <c:numCache>
                <c:formatCode>General</c:formatCode>
                <c:ptCount val="29"/>
                <c:pt idx="0">
                  <c:v>1.0404889077292643E-2</c:v>
                </c:pt>
                <c:pt idx="1">
                  <c:v>1.0617800453514738E-2</c:v>
                </c:pt>
                <c:pt idx="2">
                  <c:v>1.0787690120824452E-2</c:v>
                </c:pt>
                <c:pt idx="3">
                  <c:v>1.0997471428571428E-2</c:v>
                </c:pt>
                <c:pt idx="4">
                  <c:v>1.1191434320206958E-2</c:v>
                </c:pt>
                <c:pt idx="5">
                  <c:v>1.1368117408906883E-2</c:v>
                </c:pt>
                <c:pt idx="6">
                  <c:v>1.1545749342681861E-2</c:v>
                </c:pt>
                <c:pt idx="7">
                  <c:v>1.169236912156167E-2</c:v>
                </c:pt>
                <c:pt idx="8">
                  <c:v>1.1791557758750189E-2</c:v>
                </c:pt>
                <c:pt idx="9">
                  <c:v>1.1852166590108713E-2</c:v>
                </c:pt>
                <c:pt idx="10">
                  <c:v>1.188131868131868E-2</c:v>
                </c:pt>
                <c:pt idx="11">
                  <c:v>1.1849233252623085E-2</c:v>
                </c:pt>
                <c:pt idx="12">
                  <c:v>1.1776558061821219E-2</c:v>
                </c:pt>
                <c:pt idx="13">
                  <c:v>1.1631790499390992E-2</c:v>
                </c:pt>
                <c:pt idx="14">
                  <c:v>1.1422660098522169E-2</c:v>
                </c:pt>
                <c:pt idx="15">
                  <c:v>1.1152747252747251E-2</c:v>
                </c:pt>
                <c:pt idx="16">
                  <c:v>1.0814655172413794E-2</c:v>
                </c:pt>
                <c:pt idx="17">
                  <c:v>1.0427955095751708E-2</c:v>
                </c:pt>
                <c:pt idx="18">
                  <c:v>9.9915757000474652E-3</c:v>
                </c:pt>
                <c:pt idx="19">
                  <c:v>9.488090932575563E-3</c:v>
                </c:pt>
                <c:pt idx="20">
                  <c:v>8.9378869639307017E-3</c:v>
                </c:pt>
                <c:pt idx="21">
                  <c:v>8.3307838179519627E-3</c:v>
                </c:pt>
                <c:pt idx="22">
                  <c:v>7.6440386680988182E-3</c:v>
                </c:pt>
                <c:pt idx="23">
                  <c:v>6.8863748967795211E-3</c:v>
                </c:pt>
                <c:pt idx="24">
                  <c:v>6.0441826215022112E-3</c:v>
                </c:pt>
                <c:pt idx="25">
                  <c:v>5.1135562310030414E-3</c:v>
                </c:pt>
                <c:pt idx="26">
                  <c:v>4.1381759483454404E-3</c:v>
                </c:pt>
                <c:pt idx="27">
                  <c:v>3.0702280912364953E-3</c:v>
                </c:pt>
                <c:pt idx="28">
                  <c:v>1.9685714285714285E-3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8981632"/>
        <c:axId val="128991616"/>
      </c:scatterChart>
      <c:valAx>
        <c:axId val="1289816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991616"/>
        <c:crosses val="autoZero"/>
        <c:crossBetween val="midCat"/>
      </c:valAx>
      <c:valAx>
        <c:axId val="128991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9816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scatterChart>
        <c:scatterStyle val="smoothMarker"/>
        <c:varyColors val="0"/>
        <c:ser>
          <c:idx val="0"/>
          <c:order val="0"/>
          <c:tx>
            <c:v>8</c:v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strRef>
              <c:f>'Scorpion S11-2215-900'!$R$5:$R$7</c:f>
              <c:strCache>
                <c:ptCount val="3"/>
                <c:pt idx="0">
                  <c:v>4</c:v>
                </c:pt>
                <c:pt idx="1">
                  <c:v>6</c:v>
                </c:pt>
                <c:pt idx="2">
                  <c:v>8</c:v>
                </c:pt>
              </c:strCache>
            </c:strRef>
          </c:xVal>
          <c:yVal>
            <c:numRef>
              <c:f>'Scorpion S11-2215-900'!$Q$5:$Q$7</c:f>
              <c:numCache>
                <c:formatCode>#,##0</c:formatCode>
                <c:ptCount val="3"/>
                <c:pt idx="0">
                  <c:v>2482</c:v>
                </c:pt>
                <c:pt idx="1">
                  <c:v>3386</c:v>
                </c:pt>
                <c:pt idx="2">
                  <c:v>4363</c:v>
                </c:pt>
              </c:numCache>
            </c:numRef>
          </c:yVal>
          <c:smooth val="1"/>
        </c:ser>
        <c:ser>
          <c:idx val="1"/>
          <c:order val="1"/>
          <c:tx>
            <c:v>7</c:v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'Scorpion S11-2215-900'!$R$3:$R$4</c:f>
              <c:strCache>
                <c:ptCount val="2"/>
                <c:pt idx="0">
                  <c:v>5</c:v>
                </c:pt>
                <c:pt idx="1">
                  <c:v>6</c:v>
                </c:pt>
              </c:strCache>
            </c:strRef>
          </c:xVal>
          <c:yVal>
            <c:numRef>
              <c:f>'Scorpion S11-2215-900'!$Q$3:$Q$4</c:f>
              <c:numCache>
                <c:formatCode>#,##0</c:formatCode>
                <c:ptCount val="2"/>
                <c:pt idx="0">
                  <c:v>2159</c:v>
                </c:pt>
                <c:pt idx="1">
                  <c:v>2259</c:v>
                </c:pt>
              </c:numCache>
            </c:numRef>
          </c:yVal>
          <c:smooth val="1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29031168"/>
        <c:axId val="129037440"/>
      </c:scatterChart>
      <c:valAx>
        <c:axId val="1290311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037440"/>
        <c:crosses val="autoZero"/>
        <c:crossBetween val="midCat"/>
      </c:valAx>
      <c:valAx>
        <c:axId val="12903744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90311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chart" Target="../charts/chart9.xml"/><Relationship Id="rId1" Type="http://schemas.openxmlformats.org/officeDocument/2006/relationships/image" Target="../media/image3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chart" Target="../charts/chart2.xml"/><Relationship Id="rId6" Type="http://schemas.openxmlformats.org/officeDocument/2006/relationships/image" Target="../media/image7.png"/><Relationship Id="rId11" Type="http://schemas.openxmlformats.org/officeDocument/2006/relationships/image" Target="../media/image12.jpe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6.png"/><Relationship Id="rId18" Type="http://schemas.openxmlformats.org/officeDocument/2006/relationships/image" Target="../media/image11.png"/><Relationship Id="rId3" Type="http://schemas.openxmlformats.org/officeDocument/2006/relationships/image" Target="../media/image25.png"/><Relationship Id="rId21" Type="http://schemas.openxmlformats.org/officeDocument/2006/relationships/image" Target="../media/image19.png"/><Relationship Id="rId7" Type="http://schemas.openxmlformats.org/officeDocument/2006/relationships/image" Target="../media/image12.jpeg"/><Relationship Id="rId12" Type="http://schemas.openxmlformats.org/officeDocument/2006/relationships/image" Target="../media/image5.png"/><Relationship Id="rId17" Type="http://schemas.openxmlformats.org/officeDocument/2006/relationships/image" Target="../media/image10.png"/><Relationship Id="rId2" Type="http://schemas.openxmlformats.org/officeDocument/2006/relationships/image" Target="../media/image24.png"/><Relationship Id="rId16" Type="http://schemas.openxmlformats.org/officeDocument/2006/relationships/image" Target="../media/image9.png"/><Relationship Id="rId20" Type="http://schemas.openxmlformats.org/officeDocument/2006/relationships/image" Target="../media/image18.png"/><Relationship Id="rId1" Type="http://schemas.openxmlformats.org/officeDocument/2006/relationships/image" Target="../media/image23.png"/><Relationship Id="rId6" Type="http://schemas.openxmlformats.org/officeDocument/2006/relationships/chart" Target="../charts/chart3.xml"/><Relationship Id="rId11" Type="http://schemas.openxmlformats.org/officeDocument/2006/relationships/image" Target="../media/image4.png"/><Relationship Id="rId5" Type="http://schemas.openxmlformats.org/officeDocument/2006/relationships/image" Target="../media/image27.png"/><Relationship Id="rId15" Type="http://schemas.openxmlformats.org/officeDocument/2006/relationships/image" Target="../media/image8.png"/><Relationship Id="rId10" Type="http://schemas.openxmlformats.org/officeDocument/2006/relationships/chart" Target="../charts/chart4.xml"/><Relationship Id="rId19" Type="http://schemas.openxmlformats.org/officeDocument/2006/relationships/image" Target="../media/image17.png"/><Relationship Id="rId4" Type="http://schemas.openxmlformats.org/officeDocument/2006/relationships/image" Target="../media/image26.png"/><Relationship Id="rId9" Type="http://schemas.openxmlformats.org/officeDocument/2006/relationships/image" Target="../media/image28.png"/><Relationship Id="rId14" Type="http://schemas.openxmlformats.org/officeDocument/2006/relationships/image" Target="../media/image7.png"/><Relationship Id="rId22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5.png"/><Relationship Id="rId13" Type="http://schemas.openxmlformats.org/officeDocument/2006/relationships/image" Target="../media/image6.png"/><Relationship Id="rId18" Type="http://schemas.openxmlformats.org/officeDocument/2006/relationships/image" Target="../media/image11.png"/><Relationship Id="rId3" Type="http://schemas.openxmlformats.org/officeDocument/2006/relationships/image" Target="../media/image25.png"/><Relationship Id="rId21" Type="http://schemas.openxmlformats.org/officeDocument/2006/relationships/image" Target="../media/image19.png"/><Relationship Id="rId7" Type="http://schemas.openxmlformats.org/officeDocument/2006/relationships/image" Target="../media/image12.jpeg"/><Relationship Id="rId12" Type="http://schemas.openxmlformats.org/officeDocument/2006/relationships/image" Target="../media/image5.png"/><Relationship Id="rId17" Type="http://schemas.openxmlformats.org/officeDocument/2006/relationships/image" Target="../media/image10.png"/><Relationship Id="rId2" Type="http://schemas.openxmlformats.org/officeDocument/2006/relationships/image" Target="../media/image24.png"/><Relationship Id="rId16" Type="http://schemas.openxmlformats.org/officeDocument/2006/relationships/image" Target="../media/image9.png"/><Relationship Id="rId20" Type="http://schemas.openxmlformats.org/officeDocument/2006/relationships/image" Target="../media/image18.png"/><Relationship Id="rId1" Type="http://schemas.openxmlformats.org/officeDocument/2006/relationships/image" Target="../media/image23.png"/><Relationship Id="rId6" Type="http://schemas.openxmlformats.org/officeDocument/2006/relationships/chart" Target="../charts/chart5.xml"/><Relationship Id="rId11" Type="http://schemas.openxmlformats.org/officeDocument/2006/relationships/image" Target="../media/image4.png"/><Relationship Id="rId5" Type="http://schemas.openxmlformats.org/officeDocument/2006/relationships/image" Target="../media/image27.png"/><Relationship Id="rId15" Type="http://schemas.openxmlformats.org/officeDocument/2006/relationships/image" Target="../media/image8.png"/><Relationship Id="rId10" Type="http://schemas.openxmlformats.org/officeDocument/2006/relationships/chart" Target="../charts/chart6.xml"/><Relationship Id="rId19" Type="http://schemas.openxmlformats.org/officeDocument/2006/relationships/image" Target="../media/image17.png"/><Relationship Id="rId4" Type="http://schemas.openxmlformats.org/officeDocument/2006/relationships/image" Target="../media/image26.png"/><Relationship Id="rId9" Type="http://schemas.openxmlformats.org/officeDocument/2006/relationships/image" Target="../media/image28.png"/><Relationship Id="rId14" Type="http://schemas.openxmlformats.org/officeDocument/2006/relationships/image" Target="../media/image7.png"/><Relationship Id="rId22" Type="http://schemas.openxmlformats.org/officeDocument/2006/relationships/image" Target="../media/image2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7.png"/><Relationship Id="rId18" Type="http://schemas.openxmlformats.org/officeDocument/2006/relationships/image" Target="../media/image22.png"/><Relationship Id="rId3" Type="http://schemas.openxmlformats.org/officeDocument/2006/relationships/image" Target="../media/image6.png"/><Relationship Id="rId7" Type="http://schemas.openxmlformats.org/officeDocument/2006/relationships/image" Target="../media/image10.png"/><Relationship Id="rId12" Type="http://schemas.openxmlformats.org/officeDocument/2006/relationships/image" Target="../media/image16.png"/><Relationship Id="rId17" Type="http://schemas.openxmlformats.org/officeDocument/2006/relationships/image" Target="../media/image21.png"/><Relationship Id="rId2" Type="http://schemas.openxmlformats.org/officeDocument/2006/relationships/image" Target="../media/image5.png"/><Relationship Id="rId16" Type="http://schemas.openxmlformats.org/officeDocument/2006/relationships/image" Target="../media/image20.png"/><Relationship Id="rId20" Type="http://schemas.openxmlformats.org/officeDocument/2006/relationships/image" Target="../media/image30.png"/><Relationship Id="rId1" Type="http://schemas.openxmlformats.org/officeDocument/2006/relationships/image" Target="../media/image4.png"/><Relationship Id="rId6" Type="http://schemas.openxmlformats.org/officeDocument/2006/relationships/image" Target="../media/image9.png"/><Relationship Id="rId11" Type="http://schemas.openxmlformats.org/officeDocument/2006/relationships/image" Target="../media/image15.png"/><Relationship Id="rId5" Type="http://schemas.openxmlformats.org/officeDocument/2006/relationships/image" Target="../media/image8.png"/><Relationship Id="rId15" Type="http://schemas.openxmlformats.org/officeDocument/2006/relationships/image" Target="../media/image19.png"/><Relationship Id="rId10" Type="http://schemas.openxmlformats.org/officeDocument/2006/relationships/image" Target="../media/image14.png"/><Relationship Id="rId19" Type="http://schemas.openxmlformats.org/officeDocument/2006/relationships/image" Target="../media/image29.png"/><Relationship Id="rId4" Type="http://schemas.openxmlformats.org/officeDocument/2006/relationships/image" Target="../media/image7.png"/><Relationship Id="rId9" Type="http://schemas.openxmlformats.org/officeDocument/2006/relationships/image" Target="../media/image12.jpeg"/><Relationship Id="rId14" Type="http://schemas.openxmlformats.org/officeDocument/2006/relationships/image" Target="../media/image18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emf"/><Relationship Id="rId1" Type="http://schemas.openxmlformats.org/officeDocument/2006/relationships/chart" Target="../charts/chart7.xml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emf"/><Relationship Id="rId1" Type="http://schemas.openxmlformats.org/officeDocument/2006/relationships/chart" Target="../charts/chart8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300716</xdr:colOff>
      <xdr:row>5</xdr:row>
      <xdr:rowOff>126547</xdr:rowOff>
    </xdr:from>
    <xdr:to>
      <xdr:col>18</xdr:col>
      <xdr:colOff>21769</xdr:colOff>
      <xdr:row>21</xdr:row>
      <xdr:rowOff>145597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98502" y="1133476"/>
          <a:ext cx="5844268" cy="3067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162050</xdr:colOff>
      <xdr:row>64</xdr:row>
      <xdr:rowOff>131123</xdr:rowOff>
    </xdr:from>
    <xdr:to>
      <xdr:col>30</xdr:col>
      <xdr:colOff>527860</xdr:colOff>
      <xdr:row>86</xdr:row>
      <xdr:rowOff>79169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b="17324"/>
        <a:stretch/>
      </xdr:blipFill>
      <xdr:spPr>
        <a:xfrm>
          <a:off x="12272407" y="3383230"/>
          <a:ext cx="8788631" cy="4139046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343888</xdr:colOff>
      <xdr:row>0</xdr:row>
      <xdr:rowOff>0</xdr:rowOff>
    </xdr:from>
    <xdr:to>
      <xdr:col>42</xdr:col>
      <xdr:colOff>84116</xdr:colOff>
      <xdr:row>9</xdr:row>
      <xdr:rowOff>17318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7299" t="49290" r="10275" b="27013"/>
        <a:stretch/>
      </xdr:blipFill>
      <xdr:spPr>
        <a:xfrm>
          <a:off x="18025752" y="0"/>
          <a:ext cx="9438409" cy="1731818"/>
        </a:xfrm>
        <a:prstGeom prst="rect">
          <a:avLst/>
        </a:prstGeom>
      </xdr:spPr>
    </xdr:pic>
    <xdr:clientData/>
  </xdr:twoCellAnchor>
  <xdr:twoCellAnchor>
    <xdr:from>
      <xdr:col>17</xdr:col>
      <xdr:colOff>543050</xdr:colOff>
      <xdr:row>16</xdr:row>
      <xdr:rowOff>62716</xdr:rowOff>
    </xdr:from>
    <xdr:to>
      <xdr:col>25</xdr:col>
      <xdr:colOff>217716</xdr:colOff>
      <xdr:row>30</xdr:row>
      <xdr:rowOff>135205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235577</xdr:colOff>
      <xdr:row>16</xdr:row>
      <xdr:rowOff>21957</xdr:rowOff>
    </xdr:from>
    <xdr:to>
      <xdr:col>23</xdr:col>
      <xdr:colOff>505960</xdr:colOff>
      <xdr:row>49</xdr:row>
      <xdr:rowOff>136257</xdr:rowOff>
    </xdr:to>
    <xdr:graphicFrame macro="">
      <xdr:nvGraphicFramePr>
        <xdr:cNvPr id="2" name="Chart 1"/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1328676</xdr:colOff>
      <xdr:row>0</xdr:row>
      <xdr:rowOff>0</xdr:rowOff>
    </xdr:from>
    <xdr:to>
      <xdr:col>34</xdr:col>
      <xdr:colOff>435058</xdr:colOff>
      <xdr:row>62</xdr:row>
      <xdr:rowOff>76200</xdr:rowOff>
    </xdr:to>
    <xdr:graphicFrame macro="">
      <xdr:nvGraphicFramePr>
        <xdr:cNvPr id="2" name="Chart 1"/>
        <xdr:cNvGraphicFramePr>
          <a:graphicFrameLocks noChangeAspect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oneCellAnchor>
    <xdr:from>
      <xdr:col>13</xdr:col>
      <xdr:colOff>41099</xdr:colOff>
      <xdr:row>3</xdr:row>
      <xdr:rowOff>13854</xdr:rowOff>
    </xdr:from>
    <xdr:ext cx="5212371" cy="2441865"/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895644" y="585354"/>
          <a:ext cx="5212371" cy="2441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>
    <xdr:from>
      <xdr:col>9</xdr:col>
      <xdr:colOff>533400</xdr:colOff>
      <xdr:row>2</xdr:row>
      <xdr:rowOff>0</xdr:rowOff>
    </xdr:from>
    <xdr:to>
      <xdr:col>11</xdr:col>
      <xdr:colOff>38100</xdr:colOff>
      <xdr:row>6</xdr:row>
      <xdr:rowOff>133350</xdr:rowOff>
    </xdr:to>
    <xdr:sp macro="[0]!Update_Geometry" textlink="">
      <xdr:nvSpPr>
        <xdr:cNvPr id="4" name="Rectangle 3"/>
        <xdr:cNvSpPr/>
      </xdr:nvSpPr>
      <xdr:spPr>
        <a:xfrm>
          <a:off x="8782050" y="381000"/>
          <a:ext cx="2057400" cy="895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Update</a:t>
          </a:r>
          <a:r>
            <a:rPr lang="en-US" sz="1100" baseline="0"/>
            <a:t> Geometry</a:t>
          </a:r>
          <a:endParaRPr lang="en-US" sz="1100"/>
        </a:p>
      </xdr:txBody>
    </xdr:sp>
    <xdr:clientData/>
  </xdr:twoCellAnchor>
  <xdr:twoCellAnchor editAs="oneCell">
    <xdr:from>
      <xdr:col>0</xdr:col>
      <xdr:colOff>91044</xdr:colOff>
      <xdr:row>227</xdr:row>
      <xdr:rowOff>177139</xdr:rowOff>
    </xdr:from>
    <xdr:to>
      <xdr:col>1</xdr:col>
      <xdr:colOff>169347</xdr:colOff>
      <xdr:row>231</xdr:row>
      <xdr:rowOff>129514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44" y="34242003"/>
          <a:ext cx="1550348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51955</xdr:colOff>
      <xdr:row>235</xdr:row>
      <xdr:rowOff>51955</xdr:rowOff>
    </xdr:from>
    <xdr:to>
      <xdr:col>1</xdr:col>
      <xdr:colOff>290080</xdr:colOff>
      <xdr:row>239</xdr:row>
      <xdr:rowOff>42430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55" y="35536910"/>
          <a:ext cx="171017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244</xdr:row>
      <xdr:rowOff>0</xdr:rowOff>
    </xdr:from>
    <xdr:to>
      <xdr:col>1</xdr:col>
      <xdr:colOff>171450</xdr:colOff>
      <xdr:row>247</xdr:row>
      <xdr:rowOff>161925</xdr:rowOff>
    </xdr:to>
    <xdr:pic>
      <xdr:nvPicPr>
        <xdr:cNvPr id="11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199455"/>
          <a:ext cx="1643495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253</xdr:row>
      <xdr:rowOff>0</xdr:rowOff>
    </xdr:from>
    <xdr:to>
      <xdr:col>2</xdr:col>
      <xdr:colOff>28575</xdr:colOff>
      <xdr:row>257</xdr:row>
      <xdr:rowOff>85725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913955"/>
          <a:ext cx="2712893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262</xdr:row>
      <xdr:rowOff>0</xdr:rowOff>
    </xdr:from>
    <xdr:to>
      <xdr:col>1</xdr:col>
      <xdr:colOff>590550</xdr:colOff>
      <xdr:row>266</xdr:row>
      <xdr:rowOff>78798</xdr:rowOff>
    </xdr:to>
    <xdr:pic>
      <xdr:nvPicPr>
        <xdr:cNvPr id="1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611136"/>
          <a:ext cx="2062595" cy="771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1</xdr:col>
      <xdr:colOff>847725</xdr:colOff>
      <xdr:row>278</xdr:row>
      <xdr:rowOff>133350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758591"/>
          <a:ext cx="2319770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283</xdr:row>
      <xdr:rowOff>81643</xdr:rowOff>
    </xdr:from>
    <xdr:to>
      <xdr:col>2</xdr:col>
      <xdr:colOff>367657</xdr:colOff>
      <xdr:row>289</xdr:row>
      <xdr:rowOff>17729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4522572"/>
          <a:ext cx="3048264" cy="10790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292</xdr:row>
      <xdr:rowOff>0</xdr:rowOff>
    </xdr:from>
    <xdr:to>
      <xdr:col>2</xdr:col>
      <xdr:colOff>501781</xdr:colOff>
      <xdr:row>296</xdr:row>
      <xdr:rowOff>152479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6155429"/>
          <a:ext cx="3182388" cy="914479"/>
        </a:xfrm>
        <a:prstGeom prst="rect">
          <a:avLst/>
        </a:prstGeom>
      </xdr:spPr>
    </xdr:pic>
    <xdr:clientData/>
  </xdr:twoCellAnchor>
  <xdr:twoCellAnchor editAs="oneCell">
    <xdr:from>
      <xdr:col>0</xdr:col>
      <xdr:colOff>640773</xdr:colOff>
      <xdr:row>505</xdr:row>
      <xdr:rowOff>173182</xdr:rowOff>
    </xdr:from>
    <xdr:to>
      <xdr:col>11</xdr:col>
      <xdr:colOff>310123</xdr:colOff>
      <xdr:row>539</xdr:row>
      <xdr:rowOff>20782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40773" y="57427091"/>
          <a:ext cx="14424660" cy="6324600"/>
        </a:xfrm>
        <a:prstGeom prst="rect">
          <a:avLst/>
        </a:prstGeom>
      </xdr:spPr>
    </xdr:pic>
    <xdr:clientData/>
  </xdr:twoCellAnchor>
  <xdr:twoCellAnchor>
    <xdr:from>
      <xdr:col>16</xdr:col>
      <xdr:colOff>110837</xdr:colOff>
      <xdr:row>512</xdr:row>
      <xdr:rowOff>34636</xdr:rowOff>
    </xdr:from>
    <xdr:to>
      <xdr:col>26</xdr:col>
      <xdr:colOff>294411</xdr:colOff>
      <xdr:row>532</xdr:row>
      <xdr:rowOff>114300</xdr:rowOff>
    </xdr:to>
    <xdr:grpSp>
      <xdr:nvGrpSpPr>
        <xdr:cNvPr id="40" name="Group 39"/>
        <xdr:cNvGrpSpPr/>
      </xdr:nvGrpSpPr>
      <xdr:grpSpPr>
        <a:xfrm>
          <a:off x="20823382" y="98055545"/>
          <a:ext cx="12254347" cy="3889664"/>
          <a:chOff x="16459200" y="57860045"/>
          <a:chExt cx="11994574" cy="3889664"/>
        </a:xfrm>
      </xdr:grpSpPr>
      <xdr:pic>
        <xdr:nvPicPr>
          <xdr:cNvPr id="32" name="Picture 31"/>
          <xdr:cNvPicPr>
            <a:picLocks noChangeAspect="1"/>
          </xdr:cNvPicPr>
        </xdr:nvPicPr>
        <xdr:blipFill rotWithShape="1">
          <a:blip xmlns:r="http://schemas.openxmlformats.org/officeDocument/2006/relationships" r:embed="rId12"/>
          <a:srcRect t="33294" b="41736"/>
          <a:stretch/>
        </xdr:blipFill>
        <xdr:spPr>
          <a:xfrm>
            <a:off x="16459200" y="59006509"/>
            <a:ext cx="10888962" cy="2743200"/>
          </a:xfrm>
          <a:prstGeom prst="rect">
            <a:avLst/>
          </a:prstGeom>
        </xdr:spPr>
      </xdr:pic>
      <xdr:cxnSp macro="">
        <xdr:nvCxnSpPr>
          <xdr:cNvPr id="34" name="Straight Arrow Connector 33"/>
          <xdr:cNvCxnSpPr/>
        </xdr:nvCxnSpPr>
        <xdr:spPr>
          <a:xfrm flipV="1">
            <a:off x="16833273" y="58241045"/>
            <a:ext cx="0" cy="2563091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5" name="TextBox 34"/>
          <xdr:cNvSpPr txBox="1"/>
        </xdr:nvSpPr>
        <xdr:spPr>
          <a:xfrm>
            <a:off x="16746682" y="57860045"/>
            <a:ext cx="363682" cy="329046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/>
              <a:t>y</a:t>
            </a:r>
          </a:p>
          <a:p>
            <a:endParaRPr lang="en-US" sz="1100"/>
          </a:p>
        </xdr:txBody>
      </xdr:sp>
      <xdr:cxnSp macro="">
        <xdr:nvCxnSpPr>
          <xdr:cNvPr id="36" name="Straight Arrow Connector 35"/>
          <xdr:cNvCxnSpPr/>
        </xdr:nvCxnSpPr>
        <xdr:spPr>
          <a:xfrm>
            <a:off x="16815955" y="60769500"/>
            <a:ext cx="11585863" cy="103909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37" name="TextBox 36"/>
          <xdr:cNvSpPr txBox="1"/>
        </xdr:nvSpPr>
        <xdr:spPr>
          <a:xfrm>
            <a:off x="28090092" y="60388500"/>
            <a:ext cx="363682" cy="329046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r>
              <a:rPr lang="en-US" sz="1100"/>
              <a:t>z</a:t>
            </a:r>
          </a:p>
          <a:p>
            <a:endParaRPr lang="en-US" sz="1100"/>
          </a:p>
        </xdr:txBody>
      </xdr:sp>
    </xdr:grpSp>
    <xdr:clientData/>
  </xdr:twoCellAnchor>
  <xdr:twoCellAnchor editAs="oneCell">
    <xdr:from>
      <xdr:col>85</xdr:col>
      <xdr:colOff>713227</xdr:colOff>
      <xdr:row>109</xdr:row>
      <xdr:rowOff>121804</xdr:rowOff>
    </xdr:from>
    <xdr:to>
      <xdr:col>89</xdr:col>
      <xdr:colOff>624474</xdr:colOff>
      <xdr:row>113</xdr:row>
      <xdr:rowOff>70676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9277668" y="11182010"/>
          <a:ext cx="2824777" cy="733284"/>
        </a:xfrm>
        <a:prstGeom prst="rect">
          <a:avLst/>
        </a:prstGeom>
      </xdr:spPr>
    </xdr:pic>
    <xdr:clientData/>
  </xdr:twoCellAnchor>
  <xdr:twoCellAnchor editAs="oneCell">
    <xdr:from>
      <xdr:col>28</xdr:col>
      <xdr:colOff>114098</xdr:colOff>
      <xdr:row>545</xdr:row>
      <xdr:rowOff>175219</xdr:rowOff>
    </xdr:from>
    <xdr:to>
      <xdr:col>33</xdr:col>
      <xdr:colOff>535630</xdr:colOff>
      <xdr:row>570</xdr:row>
      <xdr:rowOff>119239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524825" y="65187674"/>
          <a:ext cx="6777303" cy="470652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546</xdr:row>
      <xdr:rowOff>0</xdr:rowOff>
    </xdr:from>
    <xdr:to>
      <xdr:col>43</xdr:col>
      <xdr:colOff>140390</xdr:colOff>
      <xdr:row>571</xdr:row>
      <xdr:rowOff>4985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8028563" y="64793813"/>
          <a:ext cx="6474513" cy="4767485"/>
        </a:xfrm>
        <a:prstGeom prst="rect">
          <a:avLst/>
        </a:prstGeom>
      </xdr:spPr>
    </xdr:pic>
    <xdr:clientData/>
  </xdr:twoCellAnchor>
  <xdr:twoCellAnchor editAs="oneCell">
    <xdr:from>
      <xdr:col>0</xdr:col>
      <xdr:colOff>40821</xdr:colOff>
      <xdr:row>299</xdr:row>
      <xdr:rowOff>54428</xdr:rowOff>
    </xdr:from>
    <xdr:to>
      <xdr:col>2</xdr:col>
      <xdr:colOff>463347</xdr:colOff>
      <xdr:row>303</xdr:row>
      <xdr:rowOff>42301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821" y="47665821"/>
          <a:ext cx="3103133" cy="749873"/>
        </a:xfrm>
        <a:prstGeom prst="rect">
          <a:avLst/>
        </a:prstGeom>
      </xdr:spPr>
    </xdr:pic>
    <xdr:clientData/>
  </xdr:twoCellAnchor>
  <xdr:twoCellAnchor editAs="oneCell">
    <xdr:from>
      <xdr:col>0</xdr:col>
      <xdr:colOff>81642</xdr:colOff>
      <xdr:row>305</xdr:row>
      <xdr:rowOff>136072</xdr:rowOff>
    </xdr:from>
    <xdr:to>
      <xdr:col>2</xdr:col>
      <xdr:colOff>802821</xdr:colOff>
      <xdr:row>309</xdr:row>
      <xdr:rowOff>127092</xdr:rowOff>
    </xdr:to>
    <xdr:pic>
      <xdr:nvPicPr>
        <xdr:cNvPr id="20" name="Picture 19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t="60284" r="73580"/>
        <a:stretch/>
      </xdr:blipFill>
      <xdr:spPr>
        <a:xfrm>
          <a:off x="81642" y="48890465"/>
          <a:ext cx="3401786" cy="753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312</xdr:row>
      <xdr:rowOff>0</xdr:rowOff>
    </xdr:from>
    <xdr:to>
      <xdr:col>4</xdr:col>
      <xdr:colOff>13564</xdr:colOff>
      <xdr:row>316</xdr:row>
      <xdr:rowOff>140286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50087893"/>
          <a:ext cx="4517528" cy="902286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319</xdr:row>
      <xdr:rowOff>54429</xdr:rowOff>
    </xdr:from>
    <xdr:to>
      <xdr:col>4</xdr:col>
      <xdr:colOff>81599</xdr:colOff>
      <xdr:row>324</xdr:row>
      <xdr:rowOff>4215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035" y="51475822"/>
          <a:ext cx="4517528" cy="902286"/>
        </a:xfrm>
        <a:prstGeom prst="rect">
          <a:avLst/>
        </a:prstGeom>
      </xdr:spPr>
    </xdr:pic>
    <xdr:clientData/>
  </xdr:twoCellAnchor>
  <xdr:twoCellAnchor editAs="oneCell">
    <xdr:from>
      <xdr:col>23</xdr:col>
      <xdr:colOff>874058</xdr:colOff>
      <xdr:row>329</xdr:row>
      <xdr:rowOff>67235</xdr:rowOff>
    </xdr:from>
    <xdr:to>
      <xdr:col>27</xdr:col>
      <xdr:colOff>627578</xdr:colOff>
      <xdr:row>355</xdr:row>
      <xdr:rowOff>47314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6658793" y="53272764"/>
          <a:ext cx="4706520" cy="4944285"/>
        </a:xfrm>
        <a:prstGeom prst="rect">
          <a:avLst/>
        </a:prstGeom>
      </xdr:spPr>
    </xdr:pic>
    <xdr:clientData/>
  </xdr:twoCellAnchor>
  <xdr:twoCellAnchor editAs="oneCell">
    <xdr:from>
      <xdr:col>28</xdr:col>
      <xdr:colOff>168088</xdr:colOff>
      <xdr:row>330</xdr:row>
      <xdr:rowOff>190499</xdr:rowOff>
    </xdr:from>
    <xdr:to>
      <xdr:col>30</xdr:col>
      <xdr:colOff>762000</xdr:colOff>
      <xdr:row>356</xdr:row>
      <xdr:rowOff>145676</xdr:rowOff>
    </xdr:to>
    <xdr:pic>
      <xdr:nvPicPr>
        <xdr:cNvPr id="14" name="Picture 13"/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9217" t="9345" r="64512" b="23397"/>
        <a:stretch/>
      </xdr:blipFill>
      <xdr:spPr>
        <a:xfrm>
          <a:off x="31634206" y="53586528"/>
          <a:ext cx="3417794" cy="491938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3</xdr:row>
      <xdr:rowOff>161925</xdr:rowOff>
    </xdr:from>
    <xdr:to>
      <xdr:col>10</xdr:col>
      <xdr:colOff>3013364</xdr:colOff>
      <xdr:row>6</xdr:row>
      <xdr:rowOff>57150</xdr:rowOff>
    </xdr:to>
    <xdr:sp macro="" textlink="">
      <xdr:nvSpPr>
        <xdr:cNvPr id="2" name="Rectangle 1"/>
        <xdr:cNvSpPr/>
      </xdr:nvSpPr>
      <xdr:spPr>
        <a:xfrm>
          <a:off x="10506075" y="733425"/>
          <a:ext cx="4042064" cy="4667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1</xdr:colOff>
      <xdr:row>0</xdr:row>
      <xdr:rowOff>145676</xdr:rowOff>
    </xdr:from>
    <xdr:to>
      <xdr:col>9</xdr:col>
      <xdr:colOff>11206</xdr:colOff>
      <xdr:row>11</xdr:row>
      <xdr:rowOff>0</xdr:rowOff>
    </xdr:to>
    <xdr:cxnSp macro="">
      <xdr:nvCxnSpPr>
        <xdr:cNvPr id="3" name="Straight Connector 2"/>
        <xdr:cNvCxnSpPr/>
      </xdr:nvCxnSpPr>
      <xdr:spPr>
        <a:xfrm flipV="1">
          <a:off x="10506076" y="145676"/>
          <a:ext cx="11205" cy="194982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244929</xdr:colOff>
      <xdr:row>11</xdr:row>
      <xdr:rowOff>98961</xdr:rowOff>
    </xdr:from>
    <xdr:to>
      <xdr:col>11</xdr:col>
      <xdr:colOff>1792336</xdr:colOff>
      <xdr:row>29</xdr:row>
      <xdr:rowOff>181561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51004" y="2194461"/>
          <a:ext cx="6309907" cy="3511600"/>
        </a:xfrm>
        <a:prstGeom prst="rect">
          <a:avLst/>
        </a:prstGeom>
      </xdr:spPr>
    </xdr:pic>
    <xdr:clientData/>
  </xdr:twoCellAnchor>
  <xdr:twoCellAnchor editAs="oneCell">
    <xdr:from>
      <xdr:col>9</xdr:col>
      <xdr:colOff>259772</xdr:colOff>
      <xdr:row>32</xdr:row>
      <xdr:rowOff>0</xdr:rowOff>
    </xdr:from>
    <xdr:to>
      <xdr:col>10</xdr:col>
      <xdr:colOff>3193970</xdr:colOff>
      <xdr:row>41</xdr:row>
      <xdr:rowOff>51955</xdr:rowOff>
    </xdr:to>
    <xdr:pic>
      <xdr:nvPicPr>
        <xdr:cNvPr id="5" name="Picture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2255" t="38120" r="7222" b="37729"/>
        <a:stretch/>
      </xdr:blipFill>
      <xdr:spPr>
        <a:xfrm>
          <a:off x="10765847" y="6096000"/>
          <a:ext cx="3962898" cy="1766455"/>
        </a:xfrm>
        <a:prstGeom prst="rect">
          <a:avLst/>
        </a:prstGeom>
      </xdr:spPr>
    </xdr:pic>
    <xdr:clientData/>
  </xdr:twoCellAnchor>
  <xdr:twoCellAnchor>
    <xdr:from>
      <xdr:col>11</xdr:col>
      <xdr:colOff>571501</xdr:colOff>
      <xdr:row>3</xdr:row>
      <xdr:rowOff>121227</xdr:rowOff>
    </xdr:from>
    <xdr:to>
      <xdr:col>11</xdr:col>
      <xdr:colOff>935182</xdr:colOff>
      <xdr:row>5</xdr:row>
      <xdr:rowOff>103909</xdr:rowOff>
    </xdr:to>
    <xdr:sp macro="" textlink="">
      <xdr:nvSpPr>
        <xdr:cNvPr id="6" name="TextBox 5"/>
        <xdr:cNvSpPr txBox="1"/>
      </xdr:nvSpPr>
      <xdr:spPr>
        <a:xfrm>
          <a:off x="15840076" y="692727"/>
          <a:ext cx="363681" cy="3636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x</a:t>
          </a:r>
        </a:p>
      </xdr:txBody>
    </xdr:sp>
    <xdr:clientData/>
  </xdr:twoCellAnchor>
  <xdr:twoCellAnchor>
    <xdr:from>
      <xdr:col>9</xdr:col>
      <xdr:colOff>242455</xdr:colOff>
      <xdr:row>0</xdr:row>
      <xdr:rowOff>17318</xdr:rowOff>
    </xdr:from>
    <xdr:to>
      <xdr:col>9</xdr:col>
      <xdr:colOff>588819</xdr:colOff>
      <xdr:row>1</xdr:row>
      <xdr:rowOff>155864</xdr:rowOff>
    </xdr:to>
    <xdr:sp macro="" textlink="">
      <xdr:nvSpPr>
        <xdr:cNvPr id="7" name="TextBox 6"/>
        <xdr:cNvSpPr txBox="1"/>
      </xdr:nvSpPr>
      <xdr:spPr>
        <a:xfrm>
          <a:off x="10748530" y="17318"/>
          <a:ext cx="346364" cy="32904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y</a:t>
          </a:r>
        </a:p>
      </xdr:txBody>
    </xdr:sp>
    <xdr:clientData/>
  </xdr:twoCellAnchor>
  <xdr:twoCellAnchor>
    <xdr:from>
      <xdr:col>10</xdr:col>
      <xdr:colOff>2961410</xdr:colOff>
      <xdr:row>4</xdr:row>
      <xdr:rowOff>173182</xdr:rowOff>
    </xdr:from>
    <xdr:to>
      <xdr:col>11</xdr:col>
      <xdr:colOff>363682</xdr:colOff>
      <xdr:row>5</xdr:row>
      <xdr:rowOff>14288</xdr:rowOff>
    </xdr:to>
    <xdr:cxnSp macro="">
      <xdr:nvCxnSpPr>
        <xdr:cNvPr id="8" name="Straight Arrow Connector 7"/>
        <xdr:cNvCxnSpPr/>
      </xdr:nvCxnSpPr>
      <xdr:spPr>
        <a:xfrm flipV="1">
          <a:off x="14496185" y="935182"/>
          <a:ext cx="1136072" cy="316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95</xdr:col>
      <xdr:colOff>372341</xdr:colOff>
      <xdr:row>2</xdr:row>
      <xdr:rowOff>0</xdr:rowOff>
    </xdr:from>
    <xdr:to>
      <xdr:col>118</xdr:col>
      <xdr:colOff>313407</xdr:colOff>
      <xdr:row>40</xdr:row>
      <xdr:rowOff>75286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573091" y="381000"/>
          <a:ext cx="13961866" cy="7314286"/>
        </a:xfrm>
        <a:prstGeom prst="rect">
          <a:avLst/>
        </a:prstGeom>
      </xdr:spPr>
    </xdr:pic>
    <xdr:clientData/>
  </xdr:twoCellAnchor>
  <xdr:twoCellAnchor editAs="oneCell">
    <xdr:from>
      <xdr:col>72</xdr:col>
      <xdr:colOff>86591</xdr:colOff>
      <xdr:row>0</xdr:row>
      <xdr:rowOff>95250</xdr:rowOff>
    </xdr:from>
    <xdr:to>
      <xdr:col>95</xdr:col>
      <xdr:colOff>27654</xdr:colOff>
      <xdr:row>38</xdr:row>
      <xdr:rowOff>170536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266541" y="95250"/>
          <a:ext cx="13961863" cy="7314286"/>
        </a:xfrm>
        <a:prstGeom prst="rect">
          <a:avLst/>
        </a:prstGeom>
      </xdr:spPr>
    </xdr:pic>
    <xdr:clientData/>
  </xdr:twoCellAnchor>
  <xdr:twoCellAnchor editAs="oneCell">
    <xdr:from>
      <xdr:col>121</xdr:col>
      <xdr:colOff>0</xdr:colOff>
      <xdr:row>0</xdr:row>
      <xdr:rowOff>95250</xdr:rowOff>
    </xdr:from>
    <xdr:to>
      <xdr:col>143</xdr:col>
      <xdr:colOff>481565</xdr:colOff>
      <xdr:row>38</xdr:row>
      <xdr:rowOff>170536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8050350" y="95250"/>
          <a:ext cx="13892765" cy="7314286"/>
        </a:xfrm>
        <a:prstGeom prst="rect">
          <a:avLst/>
        </a:prstGeom>
      </xdr:spPr>
    </xdr:pic>
    <xdr:clientData/>
  </xdr:twoCellAnchor>
  <xdr:twoCellAnchor>
    <xdr:from>
      <xdr:col>16</xdr:col>
      <xdr:colOff>3238500</xdr:colOff>
      <xdr:row>20</xdr:row>
      <xdr:rowOff>9524</xdr:rowOff>
    </xdr:from>
    <xdr:to>
      <xdr:col>30</xdr:col>
      <xdr:colOff>571499</xdr:colOff>
      <xdr:row>37</xdr:row>
      <xdr:rowOff>68036</xdr:rowOff>
    </xdr:to>
    <xdr:graphicFrame macro="">
      <xdr:nvGraphicFramePr>
        <xdr:cNvPr id="12" name="Chart 1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0</xdr:col>
      <xdr:colOff>640773</xdr:colOff>
      <xdr:row>164</xdr:row>
      <xdr:rowOff>173182</xdr:rowOff>
    </xdr:from>
    <xdr:to>
      <xdr:col>10</xdr:col>
      <xdr:colOff>3540087</xdr:colOff>
      <xdr:row>198</xdr:row>
      <xdr:rowOff>20782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40773" y="31272307"/>
          <a:ext cx="14434089" cy="6324600"/>
        </a:xfrm>
        <a:prstGeom prst="rect">
          <a:avLst/>
        </a:prstGeom>
      </xdr:spPr>
    </xdr:pic>
    <xdr:clientData/>
  </xdr:twoCellAnchor>
  <xdr:twoCellAnchor editAs="oneCell">
    <xdr:from>
      <xdr:col>28</xdr:col>
      <xdr:colOff>114098</xdr:colOff>
      <xdr:row>204</xdr:row>
      <xdr:rowOff>175219</xdr:rowOff>
    </xdr:from>
    <xdr:to>
      <xdr:col>37</xdr:col>
      <xdr:colOff>46974</xdr:colOff>
      <xdr:row>229</xdr:row>
      <xdr:rowOff>105632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404598" y="38894344"/>
          <a:ext cx="6762301" cy="4702438"/>
        </a:xfrm>
        <a:prstGeom prst="rect">
          <a:avLst/>
        </a:prstGeom>
      </xdr:spPr>
    </xdr:pic>
    <xdr:clientData/>
  </xdr:twoCellAnchor>
  <xdr:twoCellAnchor editAs="oneCell">
    <xdr:from>
      <xdr:col>59</xdr:col>
      <xdr:colOff>515470</xdr:colOff>
      <xdr:row>3</xdr:row>
      <xdr:rowOff>181698</xdr:rowOff>
    </xdr:from>
    <xdr:to>
      <xdr:col>70</xdr:col>
      <xdr:colOff>529376</xdr:colOff>
      <xdr:row>28</xdr:row>
      <xdr:rowOff>186683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770620" y="753198"/>
          <a:ext cx="6719506" cy="4767485"/>
        </a:xfrm>
        <a:prstGeom prst="rect">
          <a:avLst/>
        </a:prstGeom>
      </xdr:spPr>
    </xdr:pic>
    <xdr:clientData/>
  </xdr:twoCellAnchor>
  <xdr:twoCellAnchor>
    <xdr:from>
      <xdr:col>4</xdr:col>
      <xdr:colOff>170086</xdr:colOff>
      <xdr:row>372</xdr:row>
      <xdr:rowOff>50346</xdr:rowOff>
    </xdr:from>
    <xdr:to>
      <xdr:col>9</xdr:col>
      <xdr:colOff>646336</xdr:colOff>
      <xdr:row>386</xdr:row>
      <xdr:rowOff>126546</xdr:rowOff>
    </xdr:to>
    <xdr:graphicFrame macro="">
      <xdr:nvGraphicFramePr>
        <xdr:cNvPr id="16" name="Chart 1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 editAs="oneCell">
    <xdr:from>
      <xdr:col>0</xdr:col>
      <xdr:colOff>91044</xdr:colOff>
      <xdr:row>52</xdr:row>
      <xdr:rowOff>177139</xdr:rowOff>
    </xdr:from>
    <xdr:to>
      <xdr:col>0</xdr:col>
      <xdr:colOff>1636197</xdr:colOff>
      <xdr:row>56</xdr:row>
      <xdr:rowOff>129514</xdr:rowOff>
    </xdr:to>
    <xdr:pic>
      <xdr:nvPicPr>
        <xdr:cNvPr id="17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44" y="10102189"/>
          <a:ext cx="1545153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51955</xdr:colOff>
      <xdr:row>60</xdr:row>
      <xdr:rowOff>51955</xdr:rowOff>
    </xdr:from>
    <xdr:to>
      <xdr:col>0</xdr:col>
      <xdr:colOff>1756930</xdr:colOff>
      <xdr:row>64</xdr:row>
      <xdr:rowOff>42430</xdr:rowOff>
    </xdr:to>
    <xdr:pic>
      <xdr:nvPicPr>
        <xdr:cNvPr id="18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55" y="11501005"/>
          <a:ext cx="1704975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1638300</xdr:colOff>
      <xdr:row>72</xdr:row>
      <xdr:rowOff>161925</xdr:rowOff>
    </xdr:to>
    <xdr:pic>
      <xdr:nvPicPr>
        <xdr:cNvPr id="19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3163550"/>
          <a:ext cx="1638300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476250</xdr:colOff>
      <xdr:row>82</xdr:row>
      <xdr:rowOff>85725</xdr:rowOff>
    </xdr:to>
    <xdr:pic>
      <xdr:nvPicPr>
        <xdr:cNvPr id="20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878050"/>
          <a:ext cx="270510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2057400</xdr:colOff>
      <xdr:row>91</xdr:row>
      <xdr:rowOff>2598</xdr:rowOff>
    </xdr:to>
    <xdr:pic>
      <xdr:nvPicPr>
        <xdr:cNvPr id="21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573500"/>
          <a:ext cx="2057400" cy="6883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85725</xdr:colOff>
      <xdr:row>103</xdr:row>
      <xdr:rowOff>133350</xdr:rowOff>
    </xdr:to>
    <xdr:pic>
      <xdr:nvPicPr>
        <xdr:cNvPr id="2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707100"/>
          <a:ext cx="23145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108</xdr:row>
      <xdr:rowOff>81643</xdr:rowOff>
    </xdr:from>
    <xdr:to>
      <xdr:col>1</xdr:col>
      <xdr:colOff>815332</xdr:colOff>
      <xdr:row>114</xdr:row>
      <xdr:rowOff>17729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20503243"/>
          <a:ext cx="3044182" cy="10790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</xdr:col>
      <xdr:colOff>949456</xdr:colOff>
      <xdr:row>121</xdr:row>
      <xdr:rowOff>152479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22136100"/>
          <a:ext cx="3178306" cy="914479"/>
        </a:xfrm>
        <a:prstGeom prst="rect">
          <a:avLst/>
        </a:prstGeom>
      </xdr:spPr>
    </xdr:pic>
    <xdr:clientData/>
  </xdr:twoCellAnchor>
  <xdr:twoCellAnchor editAs="oneCell">
    <xdr:from>
      <xdr:col>0</xdr:col>
      <xdr:colOff>63233</xdr:colOff>
      <xdr:row>124</xdr:row>
      <xdr:rowOff>32016</xdr:rowOff>
    </xdr:from>
    <xdr:to>
      <xdr:col>1</xdr:col>
      <xdr:colOff>933434</xdr:colOff>
      <xdr:row>128</xdr:row>
      <xdr:rowOff>19889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3233" y="23501616"/>
          <a:ext cx="3099051" cy="749873"/>
        </a:xfrm>
        <a:prstGeom prst="rect">
          <a:avLst/>
        </a:prstGeom>
      </xdr:spPr>
    </xdr:pic>
    <xdr:clientData/>
  </xdr:twoCellAnchor>
  <xdr:twoCellAnchor editAs="oneCell">
    <xdr:from>
      <xdr:col>0</xdr:col>
      <xdr:colOff>81642</xdr:colOff>
      <xdr:row>130</xdr:row>
      <xdr:rowOff>136072</xdr:rowOff>
    </xdr:from>
    <xdr:to>
      <xdr:col>2</xdr:col>
      <xdr:colOff>193221</xdr:colOff>
      <xdr:row>134</xdr:row>
      <xdr:rowOff>127092</xdr:rowOff>
    </xdr:to>
    <xdr:pic>
      <xdr:nvPicPr>
        <xdr:cNvPr id="26" name="Picture 25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60284" r="73580"/>
        <a:stretch/>
      </xdr:blipFill>
      <xdr:spPr>
        <a:xfrm>
          <a:off x="81642" y="24748672"/>
          <a:ext cx="3397704" cy="753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3</xdr:col>
      <xdr:colOff>70714</xdr:colOff>
      <xdr:row>141</xdr:row>
      <xdr:rowOff>140286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25946100"/>
          <a:ext cx="4509364" cy="902286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144</xdr:row>
      <xdr:rowOff>54429</xdr:rowOff>
    </xdr:from>
    <xdr:to>
      <xdr:col>3</xdr:col>
      <xdr:colOff>138749</xdr:colOff>
      <xdr:row>149</xdr:row>
      <xdr:rowOff>4215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035" y="27334029"/>
          <a:ext cx="4509364" cy="902286"/>
        </a:xfrm>
        <a:prstGeom prst="rect">
          <a:avLst/>
        </a:prstGeom>
      </xdr:spPr>
    </xdr:pic>
    <xdr:clientData/>
  </xdr:twoCellAnchor>
  <xdr:twoCellAnchor editAs="oneCell">
    <xdr:from>
      <xdr:col>17</xdr:col>
      <xdr:colOff>638175</xdr:colOff>
      <xdr:row>384</xdr:row>
      <xdr:rowOff>180975</xdr:rowOff>
    </xdr:from>
    <xdr:to>
      <xdr:col>29</xdr:col>
      <xdr:colOff>541138</xdr:colOff>
      <xdr:row>423</xdr:row>
      <xdr:rowOff>65761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536525" y="73332975"/>
          <a:ext cx="13961863" cy="7314286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0</xdr:colOff>
      <xdr:row>3</xdr:row>
      <xdr:rowOff>161925</xdr:rowOff>
    </xdr:from>
    <xdr:to>
      <xdr:col>10</xdr:col>
      <xdr:colOff>3013364</xdr:colOff>
      <xdr:row>6</xdr:row>
      <xdr:rowOff>57150</xdr:rowOff>
    </xdr:to>
    <xdr:sp macro="" textlink="">
      <xdr:nvSpPr>
        <xdr:cNvPr id="2" name="Rectangle 1"/>
        <xdr:cNvSpPr/>
      </xdr:nvSpPr>
      <xdr:spPr>
        <a:xfrm>
          <a:off x="10235045" y="733425"/>
          <a:ext cx="4035137" cy="46672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9</xdr:col>
      <xdr:colOff>1</xdr:colOff>
      <xdr:row>0</xdr:row>
      <xdr:rowOff>145676</xdr:rowOff>
    </xdr:from>
    <xdr:to>
      <xdr:col>9</xdr:col>
      <xdr:colOff>11206</xdr:colOff>
      <xdr:row>11</xdr:row>
      <xdr:rowOff>0</xdr:rowOff>
    </xdr:to>
    <xdr:cxnSp macro="">
      <xdr:nvCxnSpPr>
        <xdr:cNvPr id="4" name="Straight Connector 3"/>
        <xdr:cNvCxnSpPr/>
      </xdr:nvCxnSpPr>
      <xdr:spPr>
        <a:xfrm flipV="1">
          <a:off x="10208560" y="145676"/>
          <a:ext cx="11205" cy="1949824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244929</xdr:colOff>
      <xdr:row>11</xdr:row>
      <xdr:rowOff>98961</xdr:rowOff>
    </xdr:from>
    <xdr:to>
      <xdr:col>11</xdr:col>
      <xdr:colOff>1792336</xdr:colOff>
      <xdr:row>29</xdr:row>
      <xdr:rowOff>181561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0156" y="2194461"/>
          <a:ext cx="6248057" cy="3511600"/>
        </a:xfrm>
        <a:prstGeom prst="rect">
          <a:avLst/>
        </a:prstGeom>
      </xdr:spPr>
    </xdr:pic>
    <xdr:clientData/>
  </xdr:twoCellAnchor>
  <xdr:twoCellAnchor editAs="oneCell">
    <xdr:from>
      <xdr:col>9</xdr:col>
      <xdr:colOff>259772</xdr:colOff>
      <xdr:row>32</xdr:row>
      <xdr:rowOff>0</xdr:rowOff>
    </xdr:from>
    <xdr:to>
      <xdr:col>10</xdr:col>
      <xdr:colOff>3193970</xdr:colOff>
      <xdr:row>41</xdr:row>
      <xdr:rowOff>51955</xdr:rowOff>
    </xdr:to>
    <xdr:pic>
      <xdr:nvPicPr>
        <xdr:cNvPr id="7" name="Picture 6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2255" t="38120" r="7222" b="37729"/>
        <a:stretch/>
      </xdr:blipFill>
      <xdr:spPr>
        <a:xfrm>
          <a:off x="5714999" y="6096000"/>
          <a:ext cx="3931229" cy="1766455"/>
        </a:xfrm>
        <a:prstGeom prst="rect">
          <a:avLst/>
        </a:prstGeom>
      </xdr:spPr>
    </xdr:pic>
    <xdr:clientData/>
  </xdr:twoCellAnchor>
  <xdr:twoCellAnchor>
    <xdr:from>
      <xdr:col>11</xdr:col>
      <xdr:colOff>571501</xdr:colOff>
      <xdr:row>3</xdr:row>
      <xdr:rowOff>121227</xdr:rowOff>
    </xdr:from>
    <xdr:to>
      <xdr:col>11</xdr:col>
      <xdr:colOff>935182</xdr:colOff>
      <xdr:row>5</xdr:row>
      <xdr:rowOff>103909</xdr:rowOff>
    </xdr:to>
    <xdr:sp macro="" textlink="">
      <xdr:nvSpPr>
        <xdr:cNvPr id="8" name="TextBox 7"/>
        <xdr:cNvSpPr txBox="1"/>
      </xdr:nvSpPr>
      <xdr:spPr>
        <a:xfrm>
          <a:off x="15569046" y="692727"/>
          <a:ext cx="363681" cy="36368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x</a:t>
          </a:r>
        </a:p>
      </xdr:txBody>
    </xdr:sp>
    <xdr:clientData/>
  </xdr:twoCellAnchor>
  <xdr:twoCellAnchor>
    <xdr:from>
      <xdr:col>9</xdr:col>
      <xdr:colOff>242455</xdr:colOff>
      <xdr:row>0</xdr:row>
      <xdr:rowOff>17318</xdr:rowOff>
    </xdr:from>
    <xdr:to>
      <xdr:col>9</xdr:col>
      <xdr:colOff>588819</xdr:colOff>
      <xdr:row>1</xdr:row>
      <xdr:rowOff>155864</xdr:rowOff>
    </xdr:to>
    <xdr:sp macro="" textlink="">
      <xdr:nvSpPr>
        <xdr:cNvPr id="9" name="TextBox 8"/>
        <xdr:cNvSpPr txBox="1"/>
      </xdr:nvSpPr>
      <xdr:spPr>
        <a:xfrm>
          <a:off x="10477500" y="17318"/>
          <a:ext cx="346364" cy="32904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800"/>
            <a:t>y</a:t>
          </a:r>
        </a:p>
      </xdr:txBody>
    </xdr:sp>
    <xdr:clientData/>
  </xdr:twoCellAnchor>
  <xdr:twoCellAnchor>
    <xdr:from>
      <xdr:col>10</xdr:col>
      <xdr:colOff>2961410</xdr:colOff>
      <xdr:row>4</xdr:row>
      <xdr:rowOff>173182</xdr:rowOff>
    </xdr:from>
    <xdr:to>
      <xdr:col>11</xdr:col>
      <xdr:colOff>363682</xdr:colOff>
      <xdr:row>5</xdr:row>
      <xdr:rowOff>14288</xdr:rowOff>
    </xdr:to>
    <xdr:cxnSp macro="">
      <xdr:nvCxnSpPr>
        <xdr:cNvPr id="11" name="Straight Arrow Connector 10"/>
        <xdr:cNvCxnSpPr/>
      </xdr:nvCxnSpPr>
      <xdr:spPr>
        <a:xfrm flipV="1">
          <a:off x="14218228" y="935182"/>
          <a:ext cx="1142999" cy="3160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95</xdr:col>
      <xdr:colOff>372341</xdr:colOff>
      <xdr:row>2</xdr:row>
      <xdr:rowOff>0</xdr:rowOff>
    </xdr:from>
    <xdr:to>
      <xdr:col>118</xdr:col>
      <xdr:colOff>313407</xdr:colOff>
      <xdr:row>40</xdr:row>
      <xdr:rowOff>75286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953591" y="381000"/>
          <a:ext cx="13085565" cy="7314286"/>
        </a:xfrm>
        <a:prstGeom prst="rect">
          <a:avLst/>
        </a:prstGeom>
      </xdr:spPr>
    </xdr:pic>
    <xdr:clientData/>
  </xdr:twoCellAnchor>
  <xdr:twoCellAnchor editAs="oneCell">
    <xdr:from>
      <xdr:col>72</xdr:col>
      <xdr:colOff>86591</xdr:colOff>
      <xdr:row>0</xdr:row>
      <xdr:rowOff>95250</xdr:rowOff>
    </xdr:from>
    <xdr:to>
      <xdr:col>95</xdr:col>
      <xdr:colOff>27654</xdr:colOff>
      <xdr:row>38</xdr:row>
      <xdr:rowOff>170536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523341" y="95250"/>
          <a:ext cx="13085564" cy="7314286"/>
        </a:xfrm>
        <a:prstGeom prst="rect">
          <a:avLst/>
        </a:prstGeom>
      </xdr:spPr>
    </xdr:pic>
    <xdr:clientData/>
  </xdr:twoCellAnchor>
  <xdr:twoCellAnchor editAs="oneCell">
    <xdr:from>
      <xdr:col>121</xdr:col>
      <xdr:colOff>0</xdr:colOff>
      <xdr:row>0</xdr:row>
      <xdr:rowOff>95250</xdr:rowOff>
    </xdr:from>
    <xdr:to>
      <xdr:col>143</xdr:col>
      <xdr:colOff>481565</xdr:colOff>
      <xdr:row>38</xdr:row>
      <xdr:rowOff>170536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3440250" y="95250"/>
          <a:ext cx="13054565" cy="7314286"/>
        </a:xfrm>
        <a:prstGeom prst="rect">
          <a:avLst/>
        </a:prstGeom>
      </xdr:spPr>
    </xdr:pic>
    <xdr:clientData/>
  </xdr:twoCellAnchor>
  <xdr:twoCellAnchor>
    <xdr:from>
      <xdr:col>16</xdr:col>
      <xdr:colOff>3238500</xdr:colOff>
      <xdr:row>20</xdr:row>
      <xdr:rowOff>9524</xdr:rowOff>
    </xdr:from>
    <xdr:to>
      <xdr:col>30</xdr:col>
      <xdr:colOff>571499</xdr:colOff>
      <xdr:row>37</xdr:row>
      <xdr:rowOff>68036</xdr:rowOff>
    </xdr:to>
    <xdr:graphicFrame macro="">
      <xdr:nvGraphicFramePr>
        <xdr:cNvPr id="5" name="Chart 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 editAs="oneCell">
    <xdr:from>
      <xdr:col>0</xdr:col>
      <xdr:colOff>640773</xdr:colOff>
      <xdr:row>164</xdr:row>
      <xdr:rowOff>173182</xdr:rowOff>
    </xdr:from>
    <xdr:to>
      <xdr:col>10</xdr:col>
      <xdr:colOff>3540087</xdr:colOff>
      <xdr:row>198</xdr:row>
      <xdr:rowOff>20782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40773" y="96651907"/>
          <a:ext cx="14414050" cy="6324600"/>
        </a:xfrm>
        <a:prstGeom prst="rect">
          <a:avLst/>
        </a:prstGeom>
      </xdr:spPr>
    </xdr:pic>
    <xdr:clientData/>
  </xdr:twoCellAnchor>
  <xdr:twoCellAnchor editAs="oneCell">
    <xdr:from>
      <xdr:col>28</xdr:col>
      <xdr:colOff>114098</xdr:colOff>
      <xdr:row>204</xdr:row>
      <xdr:rowOff>175219</xdr:rowOff>
    </xdr:from>
    <xdr:to>
      <xdr:col>37</xdr:col>
      <xdr:colOff>46974</xdr:colOff>
      <xdr:row>229</xdr:row>
      <xdr:rowOff>105632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4365998" y="104273944"/>
          <a:ext cx="6765182" cy="4706520"/>
        </a:xfrm>
        <a:prstGeom prst="rect">
          <a:avLst/>
        </a:prstGeom>
      </xdr:spPr>
    </xdr:pic>
    <xdr:clientData/>
  </xdr:twoCellAnchor>
  <xdr:twoCellAnchor editAs="oneCell">
    <xdr:from>
      <xdr:col>59</xdr:col>
      <xdr:colOff>515470</xdr:colOff>
      <xdr:row>3</xdr:row>
      <xdr:rowOff>181698</xdr:rowOff>
    </xdr:from>
    <xdr:to>
      <xdr:col>70</xdr:col>
      <xdr:colOff>529376</xdr:colOff>
      <xdr:row>28</xdr:row>
      <xdr:rowOff>186683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8522720" y="753198"/>
          <a:ext cx="6300406" cy="4767485"/>
        </a:xfrm>
        <a:prstGeom prst="rect">
          <a:avLst/>
        </a:prstGeom>
      </xdr:spPr>
    </xdr:pic>
    <xdr:clientData/>
  </xdr:twoCellAnchor>
  <xdr:twoCellAnchor>
    <xdr:from>
      <xdr:col>4</xdr:col>
      <xdr:colOff>170086</xdr:colOff>
      <xdr:row>372</xdr:row>
      <xdr:rowOff>50346</xdr:rowOff>
    </xdr:from>
    <xdr:to>
      <xdr:col>9</xdr:col>
      <xdr:colOff>646336</xdr:colOff>
      <xdr:row>386</xdr:row>
      <xdr:rowOff>126546</xdr:rowOff>
    </xdr:to>
    <xdr:graphicFrame macro="">
      <xdr:nvGraphicFramePr>
        <xdr:cNvPr id="24" name="Chart 2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 editAs="oneCell">
    <xdr:from>
      <xdr:col>0</xdr:col>
      <xdr:colOff>91044</xdr:colOff>
      <xdr:row>52</xdr:row>
      <xdr:rowOff>177139</xdr:rowOff>
    </xdr:from>
    <xdr:to>
      <xdr:col>0</xdr:col>
      <xdr:colOff>1636197</xdr:colOff>
      <xdr:row>56</xdr:row>
      <xdr:rowOff>129514</xdr:rowOff>
    </xdr:to>
    <xdr:pic>
      <xdr:nvPicPr>
        <xdr:cNvPr id="2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44" y="43830214"/>
          <a:ext cx="1545153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51955</xdr:colOff>
      <xdr:row>60</xdr:row>
      <xdr:rowOff>51955</xdr:rowOff>
    </xdr:from>
    <xdr:to>
      <xdr:col>0</xdr:col>
      <xdr:colOff>1756930</xdr:colOff>
      <xdr:row>64</xdr:row>
      <xdr:rowOff>42430</xdr:rowOff>
    </xdr:to>
    <xdr:pic>
      <xdr:nvPicPr>
        <xdr:cNvPr id="2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55" y="45229030"/>
          <a:ext cx="1704975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0</xdr:col>
      <xdr:colOff>1638300</xdr:colOff>
      <xdr:row>72</xdr:row>
      <xdr:rowOff>161925</xdr:rowOff>
    </xdr:to>
    <xdr:pic>
      <xdr:nvPicPr>
        <xdr:cNvPr id="2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6891575"/>
          <a:ext cx="1638300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78</xdr:row>
      <xdr:rowOff>0</xdr:rowOff>
    </xdr:from>
    <xdr:to>
      <xdr:col>1</xdr:col>
      <xdr:colOff>476250</xdr:colOff>
      <xdr:row>82</xdr:row>
      <xdr:rowOff>85725</xdr:rowOff>
    </xdr:to>
    <xdr:pic>
      <xdr:nvPicPr>
        <xdr:cNvPr id="2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606075"/>
          <a:ext cx="270510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2057400</xdr:colOff>
      <xdr:row>91</xdr:row>
      <xdr:rowOff>2598</xdr:rowOff>
    </xdr:to>
    <xdr:pic>
      <xdr:nvPicPr>
        <xdr:cNvPr id="29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301525"/>
          <a:ext cx="2057400" cy="764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1</xdr:col>
      <xdr:colOff>85725</xdr:colOff>
      <xdr:row>103</xdr:row>
      <xdr:rowOff>133350</xdr:rowOff>
    </xdr:to>
    <xdr:pic>
      <xdr:nvPicPr>
        <xdr:cNvPr id="30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435125"/>
          <a:ext cx="23145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108</xdr:row>
      <xdr:rowOff>81643</xdr:rowOff>
    </xdr:from>
    <xdr:to>
      <xdr:col>1</xdr:col>
      <xdr:colOff>815332</xdr:colOff>
      <xdr:row>114</xdr:row>
      <xdr:rowOff>17729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54231268"/>
          <a:ext cx="3044182" cy="10790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</xdr:col>
      <xdr:colOff>949456</xdr:colOff>
      <xdr:row>121</xdr:row>
      <xdr:rowOff>152479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55864125"/>
          <a:ext cx="3178306" cy="914479"/>
        </a:xfrm>
        <a:prstGeom prst="rect">
          <a:avLst/>
        </a:prstGeom>
      </xdr:spPr>
    </xdr:pic>
    <xdr:clientData/>
  </xdr:twoCellAnchor>
  <xdr:twoCellAnchor editAs="oneCell">
    <xdr:from>
      <xdr:col>0</xdr:col>
      <xdr:colOff>63233</xdr:colOff>
      <xdr:row>124</xdr:row>
      <xdr:rowOff>32016</xdr:rowOff>
    </xdr:from>
    <xdr:to>
      <xdr:col>1</xdr:col>
      <xdr:colOff>933434</xdr:colOff>
      <xdr:row>128</xdr:row>
      <xdr:rowOff>19889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3233" y="23474722"/>
          <a:ext cx="3100172" cy="749873"/>
        </a:xfrm>
        <a:prstGeom prst="rect">
          <a:avLst/>
        </a:prstGeom>
      </xdr:spPr>
    </xdr:pic>
    <xdr:clientData/>
  </xdr:twoCellAnchor>
  <xdr:twoCellAnchor editAs="oneCell">
    <xdr:from>
      <xdr:col>0</xdr:col>
      <xdr:colOff>81642</xdr:colOff>
      <xdr:row>130</xdr:row>
      <xdr:rowOff>136072</xdr:rowOff>
    </xdr:from>
    <xdr:to>
      <xdr:col>2</xdr:col>
      <xdr:colOff>193221</xdr:colOff>
      <xdr:row>134</xdr:row>
      <xdr:rowOff>127092</xdr:rowOff>
    </xdr:to>
    <xdr:pic>
      <xdr:nvPicPr>
        <xdr:cNvPr id="34" name="Picture 33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t="60284" r="73580"/>
        <a:stretch/>
      </xdr:blipFill>
      <xdr:spPr>
        <a:xfrm>
          <a:off x="81642" y="58476697"/>
          <a:ext cx="3397704" cy="753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137</xdr:row>
      <xdr:rowOff>0</xdr:rowOff>
    </xdr:from>
    <xdr:to>
      <xdr:col>3</xdr:col>
      <xdr:colOff>70714</xdr:colOff>
      <xdr:row>141</xdr:row>
      <xdr:rowOff>140286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59674125"/>
          <a:ext cx="4509364" cy="902286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144</xdr:row>
      <xdr:rowOff>54429</xdr:rowOff>
    </xdr:from>
    <xdr:to>
      <xdr:col>3</xdr:col>
      <xdr:colOff>138749</xdr:colOff>
      <xdr:row>149</xdr:row>
      <xdr:rowOff>4215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035" y="61062054"/>
          <a:ext cx="4509364" cy="902286"/>
        </a:xfrm>
        <a:prstGeom prst="rect">
          <a:avLst/>
        </a:prstGeom>
      </xdr:spPr>
    </xdr:pic>
    <xdr:clientData/>
  </xdr:twoCellAnchor>
  <xdr:twoCellAnchor editAs="oneCell">
    <xdr:from>
      <xdr:col>17</xdr:col>
      <xdr:colOff>1257300</xdr:colOff>
      <xdr:row>361</xdr:row>
      <xdr:rowOff>19050</xdr:rowOff>
    </xdr:from>
    <xdr:to>
      <xdr:col>30</xdr:col>
      <xdr:colOff>493513</xdr:colOff>
      <xdr:row>398</xdr:row>
      <xdr:rowOff>189586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155650" y="68694300"/>
          <a:ext cx="13961863" cy="73142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533400</xdr:colOff>
      <xdr:row>2</xdr:row>
      <xdr:rowOff>0</xdr:rowOff>
    </xdr:from>
    <xdr:to>
      <xdr:col>11</xdr:col>
      <xdr:colOff>38100</xdr:colOff>
      <xdr:row>6</xdr:row>
      <xdr:rowOff>133350</xdr:rowOff>
    </xdr:to>
    <xdr:sp macro="[0]!Update_Geometry" textlink="">
      <xdr:nvSpPr>
        <xdr:cNvPr id="4" name="Rectangle 3"/>
        <xdr:cNvSpPr/>
      </xdr:nvSpPr>
      <xdr:spPr>
        <a:xfrm>
          <a:off x="9563100" y="381000"/>
          <a:ext cx="2419350" cy="895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Update</a:t>
          </a:r>
          <a:r>
            <a:rPr lang="en-US" sz="1100" baseline="0"/>
            <a:t> Geometry</a:t>
          </a:r>
          <a:endParaRPr lang="en-US" sz="1100"/>
        </a:p>
      </xdr:txBody>
    </xdr:sp>
    <xdr:clientData/>
  </xdr:twoCellAnchor>
  <xdr:twoCellAnchor editAs="oneCell">
    <xdr:from>
      <xdr:col>0</xdr:col>
      <xdr:colOff>91044</xdr:colOff>
      <xdr:row>217</xdr:row>
      <xdr:rowOff>177139</xdr:rowOff>
    </xdr:from>
    <xdr:to>
      <xdr:col>0</xdr:col>
      <xdr:colOff>1637318</xdr:colOff>
      <xdr:row>221</xdr:row>
      <xdr:rowOff>129514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44" y="34114714"/>
          <a:ext cx="1545153" cy="71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51955</xdr:colOff>
      <xdr:row>225</xdr:row>
      <xdr:rowOff>51955</xdr:rowOff>
    </xdr:from>
    <xdr:to>
      <xdr:col>0</xdr:col>
      <xdr:colOff>1758051</xdr:colOff>
      <xdr:row>229</xdr:row>
      <xdr:rowOff>42430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955" y="35513530"/>
          <a:ext cx="1704975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234</xdr:row>
      <xdr:rowOff>0</xdr:rowOff>
    </xdr:from>
    <xdr:to>
      <xdr:col>0</xdr:col>
      <xdr:colOff>1639421</xdr:colOff>
      <xdr:row>237</xdr:row>
      <xdr:rowOff>161925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176075"/>
          <a:ext cx="1638300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243</xdr:row>
      <xdr:rowOff>0</xdr:rowOff>
    </xdr:from>
    <xdr:to>
      <xdr:col>1</xdr:col>
      <xdr:colOff>936252</xdr:colOff>
      <xdr:row>247</xdr:row>
      <xdr:rowOff>85725</xdr:rowOff>
    </xdr:to>
    <xdr:pic>
      <xdr:nvPicPr>
        <xdr:cNvPr id="8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890575"/>
          <a:ext cx="2705100" cy="847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252</xdr:row>
      <xdr:rowOff>0</xdr:rowOff>
    </xdr:from>
    <xdr:to>
      <xdr:col>1</xdr:col>
      <xdr:colOff>287992</xdr:colOff>
      <xdr:row>256</xdr:row>
      <xdr:rowOff>78798</xdr:rowOff>
    </xdr:to>
    <xdr:pic>
      <xdr:nvPicPr>
        <xdr:cNvPr id="9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0586025"/>
          <a:ext cx="2057400" cy="7645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264</xdr:row>
      <xdr:rowOff>0</xdr:rowOff>
    </xdr:from>
    <xdr:to>
      <xdr:col>1</xdr:col>
      <xdr:colOff>545167</xdr:colOff>
      <xdr:row>268</xdr:row>
      <xdr:rowOff>133350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2719625"/>
          <a:ext cx="2314575" cy="895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273</xdr:row>
      <xdr:rowOff>81643</xdr:rowOff>
    </xdr:from>
    <xdr:to>
      <xdr:col>2</xdr:col>
      <xdr:colOff>65098</xdr:colOff>
      <xdr:row>279</xdr:row>
      <xdr:rowOff>17729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44515768"/>
          <a:ext cx="3044182" cy="10790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282</xdr:row>
      <xdr:rowOff>0</xdr:rowOff>
    </xdr:from>
    <xdr:to>
      <xdr:col>2</xdr:col>
      <xdr:colOff>199222</xdr:colOff>
      <xdr:row>286</xdr:row>
      <xdr:rowOff>152479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6148625"/>
          <a:ext cx="3178306" cy="914479"/>
        </a:xfrm>
        <a:prstGeom prst="rect">
          <a:avLst/>
        </a:prstGeom>
      </xdr:spPr>
    </xdr:pic>
    <xdr:clientData/>
  </xdr:twoCellAnchor>
  <xdr:twoCellAnchor editAs="oneCell">
    <xdr:from>
      <xdr:col>2</xdr:col>
      <xdr:colOff>9402</xdr:colOff>
      <xdr:row>494</xdr:row>
      <xdr:rowOff>96982</xdr:rowOff>
    </xdr:from>
    <xdr:to>
      <xdr:col>14</xdr:col>
      <xdr:colOff>512143</xdr:colOff>
      <xdr:row>527</xdr:row>
      <xdr:rowOff>135082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990727" y="90670207"/>
          <a:ext cx="14399716" cy="6324600"/>
        </a:xfrm>
        <a:prstGeom prst="rect">
          <a:avLst/>
        </a:prstGeom>
      </xdr:spPr>
    </xdr:pic>
    <xdr:clientData/>
  </xdr:twoCellAnchor>
  <xdr:twoCellAnchor editAs="oneCell">
    <xdr:from>
      <xdr:col>85</xdr:col>
      <xdr:colOff>713227</xdr:colOff>
      <xdr:row>99</xdr:row>
      <xdr:rowOff>121804</xdr:rowOff>
    </xdr:from>
    <xdr:to>
      <xdr:col>89</xdr:col>
      <xdr:colOff>624475</xdr:colOff>
      <xdr:row>103</xdr:row>
      <xdr:rowOff>70676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037302" y="11180329"/>
          <a:ext cx="2806847" cy="729922"/>
        </a:xfrm>
        <a:prstGeom prst="rect">
          <a:avLst/>
        </a:prstGeom>
      </xdr:spPr>
    </xdr:pic>
    <xdr:clientData/>
  </xdr:twoCellAnchor>
  <xdr:twoCellAnchor editAs="oneCell">
    <xdr:from>
      <xdr:col>28</xdr:col>
      <xdr:colOff>114098</xdr:colOff>
      <xdr:row>535</xdr:row>
      <xdr:rowOff>175219</xdr:rowOff>
    </xdr:from>
    <xdr:to>
      <xdr:col>32</xdr:col>
      <xdr:colOff>1256809</xdr:colOff>
      <xdr:row>560</xdr:row>
      <xdr:rowOff>64810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565648" y="94558444"/>
          <a:ext cx="6765182" cy="4706520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536</xdr:row>
      <xdr:rowOff>0</xdr:rowOff>
    </xdr:from>
    <xdr:to>
      <xdr:col>43</xdr:col>
      <xdr:colOff>140388</xdr:colOff>
      <xdr:row>560</xdr:row>
      <xdr:rowOff>154663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804850" y="94573725"/>
          <a:ext cx="6560239" cy="4767485"/>
        </a:xfrm>
        <a:prstGeom prst="rect">
          <a:avLst/>
        </a:prstGeom>
      </xdr:spPr>
    </xdr:pic>
    <xdr:clientData/>
  </xdr:twoCellAnchor>
  <xdr:twoCellAnchor editAs="oneCell">
    <xdr:from>
      <xdr:col>0</xdr:col>
      <xdr:colOff>40821</xdr:colOff>
      <xdr:row>289</xdr:row>
      <xdr:rowOff>54428</xdr:rowOff>
    </xdr:from>
    <xdr:to>
      <xdr:col>2</xdr:col>
      <xdr:colOff>160788</xdr:colOff>
      <xdr:row>293</xdr:row>
      <xdr:rowOff>42301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821" y="47536553"/>
          <a:ext cx="3099051" cy="749873"/>
        </a:xfrm>
        <a:prstGeom prst="rect">
          <a:avLst/>
        </a:prstGeom>
      </xdr:spPr>
    </xdr:pic>
    <xdr:clientData/>
  </xdr:twoCellAnchor>
  <xdr:twoCellAnchor editAs="oneCell">
    <xdr:from>
      <xdr:col>0</xdr:col>
      <xdr:colOff>81642</xdr:colOff>
      <xdr:row>295</xdr:row>
      <xdr:rowOff>136072</xdr:rowOff>
    </xdr:from>
    <xdr:to>
      <xdr:col>2</xdr:col>
      <xdr:colOff>500262</xdr:colOff>
      <xdr:row>299</xdr:row>
      <xdr:rowOff>127092</xdr:rowOff>
    </xdr:to>
    <xdr:pic>
      <xdr:nvPicPr>
        <xdr:cNvPr id="24" name="Picture 23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t="60284" r="73580"/>
        <a:stretch/>
      </xdr:blipFill>
      <xdr:spPr>
        <a:xfrm>
          <a:off x="81642" y="48761197"/>
          <a:ext cx="3397704" cy="7530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302</xdr:row>
      <xdr:rowOff>0</xdr:rowOff>
    </xdr:from>
    <xdr:to>
      <xdr:col>3</xdr:col>
      <xdr:colOff>674711</xdr:colOff>
      <xdr:row>306</xdr:row>
      <xdr:rowOff>140286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49958625"/>
          <a:ext cx="4509364" cy="902286"/>
        </a:xfrm>
        <a:prstGeom prst="rect">
          <a:avLst/>
        </a:prstGeom>
      </xdr:spPr>
    </xdr:pic>
    <xdr:clientData/>
  </xdr:twoCellAnchor>
  <xdr:twoCellAnchor editAs="oneCell">
    <xdr:from>
      <xdr:col>0</xdr:col>
      <xdr:colOff>68035</xdr:colOff>
      <xdr:row>309</xdr:row>
      <xdr:rowOff>54429</xdr:rowOff>
    </xdr:from>
    <xdr:to>
      <xdr:col>3</xdr:col>
      <xdr:colOff>742746</xdr:colOff>
      <xdr:row>314</xdr:row>
      <xdr:rowOff>4215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035" y="51346554"/>
          <a:ext cx="4509364" cy="902286"/>
        </a:xfrm>
        <a:prstGeom prst="rect">
          <a:avLst/>
        </a:prstGeom>
      </xdr:spPr>
    </xdr:pic>
    <xdr:clientData/>
  </xdr:twoCellAnchor>
  <xdr:twoCellAnchor editAs="oneCell">
    <xdr:from>
      <xdr:col>23</xdr:col>
      <xdr:colOff>874058</xdr:colOff>
      <xdr:row>319</xdr:row>
      <xdr:rowOff>67235</xdr:rowOff>
    </xdr:from>
    <xdr:to>
      <xdr:col>27</xdr:col>
      <xdr:colOff>627578</xdr:colOff>
      <xdr:row>345</xdr:row>
      <xdr:rowOff>47314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6639183" y="53264360"/>
          <a:ext cx="4716045" cy="4942604"/>
        </a:xfrm>
        <a:prstGeom prst="rect">
          <a:avLst/>
        </a:prstGeom>
      </xdr:spPr>
    </xdr:pic>
    <xdr:clientData/>
  </xdr:twoCellAnchor>
  <xdr:twoCellAnchor editAs="oneCell">
    <xdr:from>
      <xdr:col>28</xdr:col>
      <xdr:colOff>168088</xdr:colOff>
      <xdr:row>320</xdr:row>
      <xdr:rowOff>190499</xdr:rowOff>
    </xdr:from>
    <xdr:to>
      <xdr:col>30</xdr:col>
      <xdr:colOff>762000</xdr:colOff>
      <xdr:row>346</xdr:row>
      <xdr:rowOff>145676</xdr:rowOff>
    </xdr:to>
    <xdr:pic>
      <xdr:nvPicPr>
        <xdr:cNvPr id="28" name="Picture 27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l="9217" t="9345" r="64512" b="23397"/>
        <a:stretch/>
      </xdr:blipFill>
      <xdr:spPr>
        <a:xfrm>
          <a:off x="31619638" y="53578124"/>
          <a:ext cx="3413312" cy="4917702"/>
        </a:xfrm>
        <a:prstGeom prst="rect">
          <a:avLst/>
        </a:prstGeom>
      </xdr:spPr>
    </xdr:pic>
    <xdr:clientData/>
  </xdr:twoCellAnchor>
  <xdr:twoCellAnchor>
    <xdr:from>
      <xdr:col>11</xdr:col>
      <xdr:colOff>761999</xdr:colOff>
      <xdr:row>1</xdr:row>
      <xdr:rowOff>0</xdr:rowOff>
    </xdr:from>
    <xdr:to>
      <xdr:col>19</xdr:col>
      <xdr:colOff>502228</xdr:colOff>
      <xdr:row>14</xdr:row>
      <xdr:rowOff>121228</xdr:rowOff>
    </xdr:to>
    <xdr:grpSp>
      <xdr:nvGrpSpPr>
        <xdr:cNvPr id="43" name="Group 42"/>
        <xdr:cNvGrpSpPr/>
      </xdr:nvGrpSpPr>
      <xdr:grpSpPr>
        <a:xfrm>
          <a:off x="14995070" y="190500"/>
          <a:ext cx="9061122" cy="2597728"/>
          <a:chOff x="12746181" y="190500"/>
          <a:chExt cx="9092047" cy="2597728"/>
        </a:xfrm>
      </xdr:grpSpPr>
      <xdr:sp macro="" textlink="">
        <xdr:nvSpPr>
          <xdr:cNvPr id="3" name="Rectangle 2"/>
          <xdr:cNvSpPr/>
        </xdr:nvSpPr>
        <xdr:spPr>
          <a:xfrm>
            <a:off x="13317682" y="779318"/>
            <a:ext cx="5611091" cy="1783773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30" name="Straight Connector 29"/>
          <xdr:cNvCxnSpPr/>
        </xdr:nvCxnSpPr>
        <xdr:spPr>
          <a:xfrm flipH="1">
            <a:off x="12763500" y="865909"/>
            <a:ext cx="432955" cy="259773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1" name="Straight Connector 30"/>
          <xdr:cNvCxnSpPr/>
        </xdr:nvCxnSpPr>
        <xdr:spPr>
          <a:xfrm flipH="1">
            <a:off x="12763501" y="1212273"/>
            <a:ext cx="432955" cy="259773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2" name="Straight Connector 31"/>
          <xdr:cNvCxnSpPr/>
        </xdr:nvCxnSpPr>
        <xdr:spPr>
          <a:xfrm flipH="1">
            <a:off x="12746181" y="1645227"/>
            <a:ext cx="432955" cy="259773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3" name="Straight Connector 32"/>
          <xdr:cNvCxnSpPr/>
        </xdr:nvCxnSpPr>
        <xdr:spPr>
          <a:xfrm flipH="1">
            <a:off x="12746182" y="2095500"/>
            <a:ext cx="432955" cy="259773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4" name="Straight Connector 33"/>
          <xdr:cNvCxnSpPr/>
        </xdr:nvCxnSpPr>
        <xdr:spPr>
          <a:xfrm flipH="1">
            <a:off x="12780819" y="2528455"/>
            <a:ext cx="432955" cy="259773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6" name="Straight Arrow Connector 35"/>
          <xdr:cNvCxnSpPr>
            <a:stCxn id="3" idx="3"/>
          </xdr:cNvCxnSpPr>
        </xdr:nvCxnSpPr>
        <xdr:spPr>
          <a:xfrm>
            <a:off x="18928773" y="1671205"/>
            <a:ext cx="2355273" cy="8658"/>
          </a:xfrm>
          <a:prstGeom prst="straightConnector1">
            <a:avLst/>
          </a:prstGeom>
          <a:ln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37" name="Straight Arrow Connector 36"/>
          <xdr:cNvCxnSpPr/>
        </xdr:nvCxnSpPr>
        <xdr:spPr>
          <a:xfrm flipV="1">
            <a:off x="13300364" y="329045"/>
            <a:ext cx="0" cy="519546"/>
          </a:xfrm>
          <a:prstGeom prst="straightConnector1">
            <a:avLst/>
          </a:prstGeom>
          <a:ln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1" name="TextBox 40"/>
          <xdr:cNvSpPr txBox="1"/>
        </xdr:nvSpPr>
        <xdr:spPr>
          <a:xfrm>
            <a:off x="21266728" y="1575954"/>
            <a:ext cx="571500" cy="3741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en-US" sz="1800"/>
              <a:t>x</a:t>
            </a:r>
          </a:p>
        </xdr:txBody>
      </xdr:sp>
      <xdr:sp macro="" textlink="">
        <xdr:nvSpPr>
          <xdr:cNvPr id="42" name="TextBox 41"/>
          <xdr:cNvSpPr txBox="1"/>
        </xdr:nvSpPr>
        <xdr:spPr>
          <a:xfrm>
            <a:off x="13404274" y="190500"/>
            <a:ext cx="571500" cy="374141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spAutoFit/>
          </a:bodyPr>
          <a:lstStyle/>
          <a:p>
            <a:pPr algn="ctr"/>
            <a:r>
              <a:rPr lang="en-US" sz="1800"/>
              <a:t>z</a:t>
            </a:r>
          </a:p>
        </xdr:txBody>
      </xdr:sp>
    </xdr:grpSp>
    <xdr:clientData/>
  </xdr:twoCellAnchor>
  <xdr:twoCellAnchor>
    <xdr:from>
      <xdr:col>13</xdr:col>
      <xdr:colOff>207819</xdr:colOff>
      <xdr:row>17</xdr:row>
      <xdr:rowOff>34636</xdr:rowOff>
    </xdr:from>
    <xdr:to>
      <xdr:col>15</xdr:col>
      <xdr:colOff>710045</xdr:colOff>
      <xdr:row>28</xdr:row>
      <xdr:rowOff>86591</xdr:rowOff>
    </xdr:to>
    <xdr:grpSp>
      <xdr:nvGrpSpPr>
        <xdr:cNvPr id="58" name="Group 57"/>
        <xdr:cNvGrpSpPr/>
      </xdr:nvGrpSpPr>
      <xdr:grpSpPr>
        <a:xfrm>
          <a:off x="16318676" y="3273136"/>
          <a:ext cx="3005940" cy="2147455"/>
          <a:chOff x="14079682" y="3238500"/>
          <a:chExt cx="3013363" cy="2147455"/>
        </a:xfrm>
      </xdr:grpSpPr>
      <xdr:sp macro="" textlink="">
        <xdr:nvSpPr>
          <xdr:cNvPr id="51" name="Rectangle 50"/>
          <xdr:cNvSpPr/>
        </xdr:nvSpPr>
        <xdr:spPr>
          <a:xfrm>
            <a:off x="16331046" y="3255818"/>
            <a:ext cx="519545" cy="450273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j</a:t>
            </a:r>
          </a:p>
        </xdr:txBody>
      </xdr:sp>
      <xdr:sp macro="" textlink="">
        <xdr:nvSpPr>
          <xdr:cNvPr id="50" name="Rectangle 49"/>
          <xdr:cNvSpPr/>
        </xdr:nvSpPr>
        <xdr:spPr>
          <a:xfrm>
            <a:off x="14287500" y="3238500"/>
            <a:ext cx="519545" cy="450273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h</a:t>
            </a:r>
          </a:p>
        </xdr:txBody>
      </xdr:sp>
      <xdr:sp macro="" textlink="">
        <xdr:nvSpPr>
          <xdr:cNvPr id="44" name="Rectangle 43"/>
          <xdr:cNvSpPr/>
        </xdr:nvSpPr>
        <xdr:spPr>
          <a:xfrm>
            <a:off x="14304819" y="5056909"/>
            <a:ext cx="2545772" cy="329045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b</a:t>
            </a:r>
          </a:p>
        </xdr:txBody>
      </xdr:sp>
      <xdr:sp macro="" textlink="">
        <xdr:nvSpPr>
          <xdr:cNvPr id="46" name="Oval 45"/>
          <xdr:cNvSpPr/>
        </xdr:nvSpPr>
        <xdr:spPr>
          <a:xfrm>
            <a:off x="14443364" y="3325091"/>
            <a:ext cx="242454" cy="259772"/>
          </a:xfrm>
          <a:prstGeom prst="ellipse">
            <a:avLst/>
          </a:prstGeom>
          <a:solidFill>
            <a:schemeClr val="tx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i</a:t>
            </a:r>
          </a:p>
        </xdr:txBody>
      </xdr:sp>
      <xdr:sp macro="" textlink="">
        <xdr:nvSpPr>
          <xdr:cNvPr id="47" name="Oval 46"/>
          <xdr:cNvSpPr/>
        </xdr:nvSpPr>
        <xdr:spPr>
          <a:xfrm>
            <a:off x="16504227" y="3377045"/>
            <a:ext cx="242454" cy="259772"/>
          </a:xfrm>
          <a:prstGeom prst="ellipse">
            <a:avLst/>
          </a:prstGeom>
          <a:solidFill>
            <a:schemeClr val="tx1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k</a:t>
            </a:r>
          </a:p>
        </xdr:txBody>
      </xdr:sp>
      <xdr:sp macro="" textlink="">
        <xdr:nvSpPr>
          <xdr:cNvPr id="48" name="Rectangle 47"/>
          <xdr:cNvSpPr/>
        </xdr:nvSpPr>
        <xdr:spPr>
          <a:xfrm>
            <a:off x="14079682" y="3238500"/>
            <a:ext cx="207818" cy="2147455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a</a:t>
            </a:r>
          </a:p>
        </xdr:txBody>
      </xdr:sp>
      <xdr:sp macro="" textlink="">
        <xdr:nvSpPr>
          <xdr:cNvPr id="49" name="Rectangle 48"/>
          <xdr:cNvSpPr/>
        </xdr:nvSpPr>
        <xdr:spPr>
          <a:xfrm>
            <a:off x="16850591" y="3238500"/>
            <a:ext cx="242454" cy="2147455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c</a:t>
            </a:r>
          </a:p>
        </xdr:txBody>
      </xdr:sp>
      <xdr:sp macro="" textlink="">
        <xdr:nvSpPr>
          <xdr:cNvPr id="53" name="Right Triangle 52"/>
          <xdr:cNvSpPr/>
        </xdr:nvSpPr>
        <xdr:spPr>
          <a:xfrm rot="5400000">
            <a:off x="14287501" y="3706090"/>
            <a:ext cx="571500" cy="588818"/>
          </a:xfrm>
          <a:prstGeom prst="rt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sz="1100"/>
              <a:t>d</a:t>
            </a:r>
          </a:p>
        </xdr:txBody>
      </xdr:sp>
      <xdr:sp macro="" textlink="">
        <xdr:nvSpPr>
          <xdr:cNvPr id="54" name="Right Triangle 53"/>
          <xdr:cNvSpPr/>
        </xdr:nvSpPr>
        <xdr:spPr>
          <a:xfrm rot="10800000">
            <a:off x="16253114" y="3714750"/>
            <a:ext cx="571500" cy="588818"/>
          </a:xfrm>
          <a:prstGeom prst="rt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100"/>
              <a:t>g</a:t>
            </a:r>
          </a:p>
        </xdr:txBody>
      </xdr:sp>
      <xdr:sp macro="" textlink="">
        <xdr:nvSpPr>
          <xdr:cNvPr id="55" name="Right Triangle 54"/>
          <xdr:cNvSpPr/>
        </xdr:nvSpPr>
        <xdr:spPr>
          <a:xfrm>
            <a:off x="14304817" y="4589318"/>
            <a:ext cx="484909" cy="398317"/>
          </a:xfrm>
          <a:prstGeom prst="rt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100"/>
              <a:t>e</a:t>
            </a:r>
          </a:p>
        </xdr:txBody>
      </xdr:sp>
      <xdr:sp macro="" textlink="">
        <xdr:nvSpPr>
          <xdr:cNvPr id="57" name="Right Triangle 56"/>
          <xdr:cNvSpPr/>
        </xdr:nvSpPr>
        <xdr:spPr>
          <a:xfrm rot="16200000">
            <a:off x="16408977" y="4615296"/>
            <a:ext cx="415636" cy="432954"/>
          </a:xfrm>
          <a:prstGeom prst="rt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sz="1100"/>
              <a:t>f</a:t>
            </a:r>
          </a:p>
        </xdr:txBody>
      </xdr:sp>
    </xdr:grpSp>
    <xdr:clientData/>
  </xdr:twoCellAnchor>
  <xdr:oneCellAnchor>
    <xdr:from>
      <xdr:col>17</xdr:col>
      <xdr:colOff>675409</xdr:colOff>
      <xdr:row>19</xdr:row>
      <xdr:rowOff>51955</xdr:rowOff>
    </xdr:from>
    <xdr:ext cx="184731" cy="264560"/>
    <xdr:sp macro="" textlink="">
      <xdr:nvSpPr>
        <xdr:cNvPr id="63" name="TextBox 62"/>
        <xdr:cNvSpPr txBox="1"/>
      </xdr:nvSpPr>
      <xdr:spPr>
        <a:xfrm>
          <a:off x="19690773" y="3671455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16</xdr:col>
      <xdr:colOff>363682</xdr:colOff>
      <xdr:row>19</xdr:row>
      <xdr:rowOff>86591</xdr:rowOff>
    </xdr:from>
    <xdr:to>
      <xdr:col>16</xdr:col>
      <xdr:colOff>935182</xdr:colOff>
      <xdr:row>21</xdr:row>
      <xdr:rowOff>79732</xdr:rowOff>
    </xdr:to>
    <xdr:sp macro="" textlink="">
      <xdr:nvSpPr>
        <xdr:cNvPr id="64" name="TextBox 63"/>
        <xdr:cNvSpPr txBox="1"/>
      </xdr:nvSpPr>
      <xdr:spPr>
        <a:xfrm>
          <a:off x="18288000" y="3706091"/>
          <a:ext cx="571500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800"/>
            <a:t>y</a:t>
          </a:r>
        </a:p>
      </xdr:txBody>
    </xdr:sp>
    <xdr:clientData/>
  </xdr:twoCellAnchor>
  <xdr:twoCellAnchor>
    <xdr:from>
      <xdr:col>14</xdr:col>
      <xdr:colOff>329045</xdr:colOff>
      <xdr:row>14</xdr:row>
      <xdr:rowOff>103909</xdr:rowOff>
    </xdr:from>
    <xdr:to>
      <xdr:col>14</xdr:col>
      <xdr:colOff>900545</xdr:colOff>
      <xdr:row>16</xdr:row>
      <xdr:rowOff>97050</xdr:rowOff>
    </xdr:to>
    <xdr:sp macro="" textlink="">
      <xdr:nvSpPr>
        <xdr:cNvPr id="65" name="TextBox 64"/>
        <xdr:cNvSpPr txBox="1"/>
      </xdr:nvSpPr>
      <xdr:spPr>
        <a:xfrm>
          <a:off x="14980227" y="2770909"/>
          <a:ext cx="571500" cy="374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noAutofit/>
        </a:bodyPr>
        <a:lstStyle/>
        <a:p>
          <a:pPr algn="ctr"/>
          <a:r>
            <a:rPr lang="en-US" sz="1800"/>
            <a:t>z</a:t>
          </a:r>
        </a:p>
      </xdr:txBody>
    </xdr:sp>
    <xdr:clientData/>
  </xdr:twoCellAnchor>
  <xdr:twoCellAnchor>
    <xdr:from>
      <xdr:col>11</xdr:col>
      <xdr:colOff>17318</xdr:colOff>
      <xdr:row>14</xdr:row>
      <xdr:rowOff>138545</xdr:rowOff>
    </xdr:from>
    <xdr:to>
      <xdr:col>12</xdr:col>
      <xdr:colOff>588819</xdr:colOff>
      <xdr:row>18</xdr:row>
      <xdr:rowOff>17318</xdr:rowOff>
    </xdr:to>
    <xdr:sp macro="" textlink="">
      <xdr:nvSpPr>
        <xdr:cNvPr id="66" name="TextBox 65"/>
        <xdr:cNvSpPr txBox="1"/>
      </xdr:nvSpPr>
      <xdr:spPr>
        <a:xfrm>
          <a:off x="12001500" y="2805545"/>
          <a:ext cx="1575955" cy="64077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wing</a:t>
          </a:r>
          <a:r>
            <a:rPr lang="en-US" sz="1100" baseline="0"/>
            <a:t> rear spar passes through crossection</a:t>
          </a:r>
          <a:endParaRPr lang="en-US" sz="1100"/>
        </a:p>
      </xdr:txBody>
    </xdr:sp>
    <xdr:clientData/>
  </xdr:twoCellAnchor>
  <xdr:twoCellAnchor>
    <xdr:from>
      <xdr:col>14</xdr:col>
      <xdr:colOff>779318</xdr:colOff>
      <xdr:row>19</xdr:row>
      <xdr:rowOff>138545</xdr:rowOff>
    </xdr:from>
    <xdr:to>
      <xdr:col>14</xdr:col>
      <xdr:colOff>1091045</xdr:colOff>
      <xdr:row>21</xdr:row>
      <xdr:rowOff>51954</xdr:rowOff>
    </xdr:to>
    <xdr:sp macro="" textlink="">
      <xdr:nvSpPr>
        <xdr:cNvPr id="67" name="Oval 66"/>
        <xdr:cNvSpPr/>
      </xdr:nvSpPr>
      <xdr:spPr>
        <a:xfrm>
          <a:off x="15430500" y="3758045"/>
          <a:ext cx="311727" cy="294409"/>
        </a:xfrm>
        <a:prstGeom prst="ellipse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14</xdr:col>
      <xdr:colOff>935182</xdr:colOff>
      <xdr:row>20</xdr:row>
      <xdr:rowOff>103909</xdr:rowOff>
    </xdr:from>
    <xdr:to>
      <xdr:col>16</xdr:col>
      <xdr:colOff>329046</xdr:colOff>
      <xdr:row>20</xdr:row>
      <xdr:rowOff>103909</xdr:rowOff>
    </xdr:to>
    <xdr:cxnSp macro="">
      <xdr:nvCxnSpPr>
        <xdr:cNvPr id="60" name="Straight Arrow Connector 59"/>
        <xdr:cNvCxnSpPr/>
      </xdr:nvCxnSpPr>
      <xdr:spPr>
        <a:xfrm>
          <a:off x="15586364" y="3913909"/>
          <a:ext cx="266700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935182</xdr:colOff>
      <xdr:row>14</xdr:row>
      <xdr:rowOff>103909</xdr:rowOff>
    </xdr:from>
    <xdr:to>
      <xdr:col>14</xdr:col>
      <xdr:colOff>935182</xdr:colOff>
      <xdr:row>20</xdr:row>
      <xdr:rowOff>69273</xdr:rowOff>
    </xdr:to>
    <xdr:cxnSp macro="">
      <xdr:nvCxnSpPr>
        <xdr:cNvPr id="61" name="Straight Arrow Connector 60"/>
        <xdr:cNvCxnSpPr/>
      </xdr:nvCxnSpPr>
      <xdr:spPr>
        <a:xfrm flipV="1">
          <a:off x="15586364" y="2770909"/>
          <a:ext cx="0" cy="110836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12</xdr:col>
      <xdr:colOff>415637</xdr:colOff>
      <xdr:row>20</xdr:row>
      <xdr:rowOff>155864</xdr:rowOff>
    </xdr:from>
    <xdr:ext cx="502227" cy="450272"/>
    <xdr:sp macro="" textlink="">
      <xdr:nvSpPr>
        <xdr:cNvPr id="68" name="TextBox 67"/>
        <xdr:cNvSpPr txBox="1"/>
      </xdr:nvSpPr>
      <xdr:spPr>
        <a:xfrm>
          <a:off x="13404273" y="3965864"/>
          <a:ext cx="502227" cy="45027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4</xdr:col>
      <xdr:colOff>639537</xdr:colOff>
      <xdr:row>147</xdr:row>
      <xdr:rowOff>176892</xdr:rowOff>
    </xdr:from>
    <xdr:to>
      <xdr:col>7</xdr:col>
      <xdr:colOff>48244</xdr:colOff>
      <xdr:row>160</xdr:row>
      <xdr:rowOff>57465</xdr:rowOff>
    </xdr:to>
    <xdr:grpSp>
      <xdr:nvGrpSpPr>
        <xdr:cNvPr id="88" name="Group 87"/>
        <xdr:cNvGrpSpPr/>
      </xdr:nvGrpSpPr>
      <xdr:grpSpPr>
        <a:xfrm>
          <a:off x="5442858" y="28561392"/>
          <a:ext cx="3871850" cy="2357073"/>
          <a:chOff x="13076465" y="19594285"/>
          <a:chExt cx="3870250" cy="2357073"/>
        </a:xfrm>
      </xdr:grpSpPr>
      <xdr:grpSp>
        <xdr:nvGrpSpPr>
          <xdr:cNvPr id="69" name="Group 68"/>
          <xdr:cNvGrpSpPr/>
        </xdr:nvGrpSpPr>
        <xdr:grpSpPr>
          <a:xfrm>
            <a:off x="13743215" y="19594285"/>
            <a:ext cx="3004340" cy="2147455"/>
            <a:chOff x="14079682" y="3238500"/>
            <a:chExt cx="3013363" cy="2147455"/>
          </a:xfrm>
        </xdr:grpSpPr>
        <xdr:sp macro="" textlink="">
          <xdr:nvSpPr>
            <xdr:cNvPr id="70" name="Rectangle 69"/>
            <xdr:cNvSpPr/>
          </xdr:nvSpPr>
          <xdr:spPr>
            <a:xfrm>
              <a:off x="16331046" y="3255818"/>
              <a:ext cx="519545" cy="450273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j</a:t>
              </a:r>
            </a:p>
          </xdr:txBody>
        </xdr:sp>
        <xdr:sp macro="" textlink="">
          <xdr:nvSpPr>
            <xdr:cNvPr id="71" name="Rectangle 70"/>
            <xdr:cNvSpPr/>
          </xdr:nvSpPr>
          <xdr:spPr>
            <a:xfrm>
              <a:off x="14287500" y="3238500"/>
              <a:ext cx="519545" cy="450273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h</a:t>
              </a:r>
            </a:p>
          </xdr:txBody>
        </xdr:sp>
        <xdr:sp macro="" textlink="">
          <xdr:nvSpPr>
            <xdr:cNvPr id="72" name="Rectangle 71"/>
            <xdr:cNvSpPr/>
          </xdr:nvSpPr>
          <xdr:spPr>
            <a:xfrm>
              <a:off x="14304819" y="5056909"/>
              <a:ext cx="2545772" cy="329045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b</a:t>
              </a:r>
            </a:p>
          </xdr:txBody>
        </xdr:sp>
        <xdr:sp macro="" textlink="">
          <xdr:nvSpPr>
            <xdr:cNvPr id="73" name="Oval 72"/>
            <xdr:cNvSpPr/>
          </xdr:nvSpPr>
          <xdr:spPr>
            <a:xfrm>
              <a:off x="14443364" y="3325091"/>
              <a:ext cx="242454" cy="259772"/>
            </a:xfrm>
            <a:prstGeom prst="ellipse">
              <a:avLst/>
            </a:prstGeom>
            <a:solidFill>
              <a:schemeClr val="tx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i</a:t>
              </a:r>
            </a:p>
          </xdr:txBody>
        </xdr:sp>
        <xdr:sp macro="" textlink="">
          <xdr:nvSpPr>
            <xdr:cNvPr id="74" name="Oval 73"/>
            <xdr:cNvSpPr/>
          </xdr:nvSpPr>
          <xdr:spPr>
            <a:xfrm>
              <a:off x="16504227" y="3377045"/>
              <a:ext cx="242454" cy="259772"/>
            </a:xfrm>
            <a:prstGeom prst="ellipse">
              <a:avLst/>
            </a:prstGeom>
            <a:solidFill>
              <a:schemeClr val="tx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k</a:t>
              </a:r>
            </a:p>
          </xdr:txBody>
        </xdr:sp>
        <xdr:sp macro="" textlink="">
          <xdr:nvSpPr>
            <xdr:cNvPr id="75" name="Rectangle 74"/>
            <xdr:cNvSpPr/>
          </xdr:nvSpPr>
          <xdr:spPr>
            <a:xfrm>
              <a:off x="14079682" y="3238500"/>
              <a:ext cx="207818" cy="2147455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a</a:t>
              </a:r>
            </a:p>
          </xdr:txBody>
        </xdr:sp>
        <xdr:sp macro="" textlink="">
          <xdr:nvSpPr>
            <xdr:cNvPr id="76" name="Rectangle 75"/>
            <xdr:cNvSpPr/>
          </xdr:nvSpPr>
          <xdr:spPr>
            <a:xfrm>
              <a:off x="16850591" y="3238500"/>
              <a:ext cx="242454" cy="2147455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c</a:t>
              </a:r>
            </a:p>
          </xdr:txBody>
        </xdr:sp>
        <xdr:sp macro="" textlink="">
          <xdr:nvSpPr>
            <xdr:cNvPr id="77" name="Right Triangle 76"/>
            <xdr:cNvSpPr/>
          </xdr:nvSpPr>
          <xdr:spPr>
            <a:xfrm rot="5400000">
              <a:off x="14287501" y="3706090"/>
              <a:ext cx="571500" cy="588818"/>
            </a:xfrm>
            <a:prstGeom prst="rt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d</a:t>
              </a:r>
            </a:p>
          </xdr:txBody>
        </xdr:sp>
        <xdr:sp macro="" textlink="">
          <xdr:nvSpPr>
            <xdr:cNvPr id="78" name="Right Triangle 77"/>
            <xdr:cNvSpPr/>
          </xdr:nvSpPr>
          <xdr:spPr>
            <a:xfrm rot="10800000">
              <a:off x="16253114" y="3714750"/>
              <a:ext cx="571500" cy="588818"/>
            </a:xfrm>
            <a:prstGeom prst="rt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1100"/>
                <a:t>g</a:t>
              </a:r>
            </a:p>
          </xdr:txBody>
        </xdr:sp>
        <xdr:sp macro="" textlink="">
          <xdr:nvSpPr>
            <xdr:cNvPr id="79" name="Right Triangle 78"/>
            <xdr:cNvSpPr/>
          </xdr:nvSpPr>
          <xdr:spPr>
            <a:xfrm>
              <a:off x="14304817" y="4589318"/>
              <a:ext cx="484909" cy="398317"/>
            </a:xfrm>
            <a:prstGeom prst="rt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1100"/>
                <a:t>e</a:t>
              </a:r>
            </a:p>
          </xdr:txBody>
        </xdr:sp>
        <xdr:sp macro="" textlink="">
          <xdr:nvSpPr>
            <xdr:cNvPr id="80" name="Right Triangle 79"/>
            <xdr:cNvSpPr/>
          </xdr:nvSpPr>
          <xdr:spPr>
            <a:xfrm rot="16200000">
              <a:off x="16408977" y="4615296"/>
              <a:ext cx="415636" cy="432954"/>
            </a:xfrm>
            <a:prstGeom prst="rt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1100"/>
                <a:t>f</a:t>
              </a:r>
            </a:p>
          </xdr:txBody>
        </xdr:sp>
      </xdr:grpSp>
      <xdr:grpSp>
        <xdr:nvGrpSpPr>
          <xdr:cNvPr id="87" name="Group 86"/>
          <xdr:cNvGrpSpPr/>
        </xdr:nvGrpSpPr>
        <xdr:grpSpPr>
          <a:xfrm>
            <a:off x="13076465" y="20642035"/>
            <a:ext cx="3870250" cy="1309323"/>
            <a:chOff x="12504965" y="21145500"/>
            <a:chExt cx="3871851" cy="1309323"/>
          </a:xfrm>
        </xdr:grpSpPr>
        <xdr:sp macro="" textlink="">
          <xdr:nvSpPr>
            <xdr:cNvPr id="83" name="TextBox 82"/>
            <xdr:cNvSpPr txBox="1"/>
          </xdr:nvSpPr>
          <xdr:spPr>
            <a:xfrm>
              <a:off x="15805316" y="22080682"/>
              <a:ext cx="571500" cy="3741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pPr algn="ctr"/>
              <a:r>
                <a:rPr lang="en-US" sz="1800"/>
                <a:t>Z</a:t>
              </a:r>
            </a:p>
          </xdr:txBody>
        </xdr:sp>
        <xdr:sp macro="" textlink="">
          <xdr:nvSpPr>
            <xdr:cNvPr id="84" name="TextBox 83"/>
            <xdr:cNvSpPr txBox="1"/>
          </xdr:nvSpPr>
          <xdr:spPr>
            <a:xfrm>
              <a:off x="12504965" y="21145500"/>
              <a:ext cx="571500" cy="3741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pPr algn="ctr"/>
              <a:r>
                <a:rPr lang="en-US" sz="1800"/>
                <a:t>Y</a:t>
              </a:r>
            </a:p>
          </xdr:txBody>
        </xdr:sp>
        <xdr:cxnSp macro="">
          <xdr:nvCxnSpPr>
            <xdr:cNvPr id="85" name="Straight Arrow Connector 84"/>
            <xdr:cNvCxnSpPr/>
          </xdr:nvCxnSpPr>
          <xdr:spPr>
            <a:xfrm>
              <a:off x="13111102" y="22288500"/>
              <a:ext cx="2659578" cy="0"/>
            </a:xfrm>
            <a:prstGeom prst="straightConnector1">
              <a:avLst/>
            </a:prstGeom>
            <a:ln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86" name="Straight Arrow Connector 85"/>
            <xdr:cNvCxnSpPr/>
          </xdr:nvCxnSpPr>
          <xdr:spPr>
            <a:xfrm flipV="1">
              <a:off x="13111102" y="21145500"/>
              <a:ext cx="0" cy="1108364"/>
            </a:xfrm>
            <a:prstGeom prst="straightConnector1">
              <a:avLst/>
            </a:prstGeom>
            <a:ln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>
    <xdr:from>
      <xdr:col>27</xdr:col>
      <xdr:colOff>220276</xdr:colOff>
      <xdr:row>510</xdr:row>
      <xdr:rowOff>98771</xdr:rowOff>
    </xdr:from>
    <xdr:to>
      <xdr:col>30</xdr:col>
      <xdr:colOff>1247776</xdr:colOff>
      <xdr:row>521</xdr:row>
      <xdr:rowOff>85725</xdr:rowOff>
    </xdr:to>
    <xdr:grpSp>
      <xdr:nvGrpSpPr>
        <xdr:cNvPr id="89" name="Group 88"/>
        <xdr:cNvGrpSpPr/>
      </xdr:nvGrpSpPr>
      <xdr:grpSpPr>
        <a:xfrm>
          <a:off x="33258419" y="97661985"/>
          <a:ext cx="4565357" cy="2082454"/>
          <a:chOff x="13076465" y="19594285"/>
          <a:chExt cx="3870250" cy="2357073"/>
        </a:xfrm>
      </xdr:grpSpPr>
      <xdr:grpSp>
        <xdr:nvGrpSpPr>
          <xdr:cNvPr id="90" name="Group 89"/>
          <xdr:cNvGrpSpPr/>
        </xdr:nvGrpSpPr>
        <xdr:grpSpPr>
          <a:xfrm>
            <a:off x="13743215" y="19594285"/>
            <a:ext cx="3004340" cy="2147455"/>
            <a:chOff x="14079682" y="3238500"/>
            <a:chExt cx="3013363" cy="2147455"/>
          </a:xfrm>
        </xdr:grpSpPr>
        <xdr:sp macro="" textlink="">
          <xdr:nvSpPr>
            <xdr:cNvPr id="96" name="Rectangle 95"/>
            <xdr:cNvSpPr/>
          </xdr:nvSpPr>
          <xdr:spPr>
            <a:xfrm>
              <a:off x="16331046" y="3255818"/>
              <a:ext cx="519545" cy="450273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j</a:t>
              </a:r>
            </a:p>
          </xdr:txBody>
        </xdr:sp>
        <xdr:sp macro="" textlink="">
          <xdr:nvSpPr>
            <xdr:cNvPr id="97" name="Rectangle 96"/>
            <xdr:cNvSpPr/>
          </xdr:nvSpPr>
          <xdr:spPr>
            <a:xfrm>
              <a:off x="14287500" y="3238500"/>
              <a:ext cx="519545" cy="450273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h</a:t>
              </a:r>
            </a:p>
          </xdr:txBody>
        </xdr:sp>
        <xdr:sp macro="" textlink="">
          <xdr:nvSpPr>
            <xdr:cNvPr id="98" name="Rectangle 97"/>
            <xdr:cNvSpPr/>
          </xdr:nvSpPr>
          <xdr:spPr>
            <a:xfrm>
              <a:off x="14304819" y="5056909"/>
              <a:ext cx="2545772" cy="329045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b</a:t>
              </a:r>
            </a:p>
          </xdr:txBody>
        </xdr:sp>
        <xdr:sp macro="" textlink="">
          <xdr:nvSpPr>
            <xdr:cNvPr id="99" name="Oval 98"/>
            <xdr:cNvSpPr/>
          </xdr:nvSpPr>
          <xdr:spPr>
            <a:xfrm>
              <a:off x="14443364" y="3325091"/>
              <a:ext cx="242454" cy="259772"/>
            </a:xfrm>
            <a:prstGeom prst="ellipse">
              <a:avLst/>
            </a:prstGeom>
            <a:solidFill>
              <a:schemeClr val="tx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i</a:t>
              </a:r>
            </a:p>
          </xdr:txBody>
        </xdr:sp>
        <xdr:sp macro="" textlink="">
          <xdr:nvSpPr>
            <xdr:cNvPr id="100" name="Oval 99"/>
            <xdr:cNvSpPr/>
          </xdr:nvSpPr>
          <xdr:spPr>
            <a:xfrm>
              <a:off x="16504227" y="3377045"/>
              <a:ext cx="242454" cy="259772"/>
            </a:xfrm>
            <a:prstGeom prst="ellipse">
              <a:avLst/>
            </a:prstGeom>
            <a:solidFill>
              <a:schemeClr val="tx1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k</a:t>
              </a:r>
            </a:p>
          </xdr:txBody>
        </xdr:sp>
        <xdr:sp macro="" textlink="">
          <xdr:nvSpPr>
            <xdr:cNvPr id="101" name="Rectangle 100"/>
            <xdr:cNvSpPr/>
          </xdr:nvSpPr>
          <xdr:spPr>
            <a:xfrm>
              <a:off x="14079682" y="3238500"/>
              <a:ext cx="207818" cy="2147455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a</a:t>
              </a:r>
            </a:p>
          </xdr:txBody>
        </xdr:sp>
        <xdr:sp macro="" textlink="">
          <xdr:nvSpPr>
            <xdr:cNvPr id="102" name="Rectangle 101"/>
            <xdr:cNvSpPr/>
          </xdr:nvSpPr>
          <xdr:spPr>
            <a:xfrm>
              <a:off x="16850591" y="3238500"/>
              <a:ext cx="242454" cy="2147455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c</a:t>
              </a:r>
            </a:p>
          </xdr:txBody>
        </xdr:sp>
        <xdr:sp macro="" textlink="">
          <xdr:nvSpPr>
            <xdr:cNvPr id="103" name="Right Triangle 102"/>
            <xdr:cNvSpPr/>
          </xdr:nvSpPr>
          <xdr:spPr>
            <a:xfrm rot="5400000">
              <a:off x="14287501" y="3706090"/>
              <a:ext cx="571500" cy="588818"/>
            </a:xfrm>
            <a:prstGeom prst="rt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sz="1100"/>
                <a:t>d</a:t>
              </a:r>
            </a:p>
          </xdr:txBody>
        </xdr:sp>
        <xdr:sp macro="" textlink="">
          <xdr:nvSpPr>
            <xdr:cNvPr id="104" name="Right Triangle 103"/>
            <xdr:cNvSpPr/>
          </xdr:nvSpPr>
          <xdr:spPr>
            <a:xfrm rot="10800000">
              <a:off x="16253114" y="3714750"/>
              <a:ext cx="571500" cy="588818"/>
            </a:xfrm>
            <a:prstGeom prst="rt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1100"/>
                <a:t>g</a:t>
              </a:r>
            </a:p>
          </xdr:txBody>
        </xdr:sp>
        <xdr:sp macro="" textlink="">
          <xdr:nvSpPr>
            <xdr:cNvPr id="105" name="Right Triangle 104"/>
            <xdr:cNvSpPr/>
          </xdr:nvSpPr>
          <xdr:spPr>
            <a:xfrm>
              <a:off x="14304817" y="4589318"/>
              <a:ext cx="484909" cy="398317"/>
            </a:xfrm>
            <a:prstGeom prst="rt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1100"/>
                <a:t>e</a:t>
              </a:r>
            </a:p>
          </xdr:txBody>
        </xdr:sp>
        <xdr:sp macro="" textlink="">
          <xdr:nvSpPr>
            <xdr:cNvPr id="106" name="Right Triangle 105"/>
            <xdr:cNvSpPr/>
          </xdr:nvSpPr>
          <xdr:spPr>
            <a:xfrm rot="16200000">
              <a:off x="16408977" y="4615296"/>
              <a:ext cx="415636" cy="432954"/>
            </a:xfrm>
            <a:prstGeom prst="rtTriangle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sz="1100"/>
                <a:t>f</a:t>
              </a:r>
            </a:p>
          </xdr:txBody>
        </xdr:sp>
      </xdr:grpSp>
      <xdr:grpSp>
        <xdr:nvGrpSpPr>
          <xdr:cNvPr id="91" name="Group 90"/>
          <xdr:cNvGrpSpPr/>
        </xdr:nvGrpSpPr>
        <xdr:grpSpPr>
          <a:xfrm>
            <a:off x="13076465" y="20642035"/>
            <a:ext cx="3870250" cy="1309323"/>
            <a:chOff x="12504965" y="21145500"/>
            <a:chExt cx="3871851" cy="1309323"/>
          </a:xfrm>
        </xdr:grpSpPr>
        <xdr:sp macro="" textlink="">
          <xdr:nvSpPr>
            <xdr:cNvPr id="92" name="TextBox 91"/>
            <xdr:cNvSpPr txBox="1"/>
          </xdr:nvSpPr>
          <xdr:spPr>
            <a:xfrm>
              <a:off x="15805316" y="22080682"/>
              <a:ext cx="571500" cy="3741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pPr algn="ctr"/>
              <a:r>
                <a:rPr lang="en-US" sz="1800"/>
                <a:t>z</a:t>
              </a:r>
            </a:p>
          </xdr:txBody>
        </xdr:sp>
        <xdr:sp macro="" textlink="">
          <xdr:nvSpPr>
            <xdr:cNvPr id="93" name="TextBox 92"/>
            <xdr:cNvSpPr txBox="1"/>
          </xdr:nvSpPr>
          <xdr:spPr>
            <a:xfrm>
              <a:off x="12504965" y="21145500"/>
              <a:ext cx="571500" cy="374141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rtlCol="0" anchor="t">
              <a:noAutofit/>
            </a:bodyPr>
            <a:lstStyle/>
            <a:p>
              <a:pPr algn="ctr"/>
              <a:r>
                <a:rPr lang="en-US" sz="1800"/>
                <a:t>y</a:t>
              </a:r>
            </a:p>
          </xdr:txBody>
        </xdr:sp>
        <xdr:cxnSp macro="">
          <xdr:nvCxnSpPr>
            <xdr:cNvPr id="94" name="Straight Arrow Connector 93"/>
            <xdr:cNvCxnSpPr/>
          </xdr:nvCxnSpPr>
          <xdr:spPr>
            <a:xfrm>
              <a:off x="13111102" y="22288500"/>
              <a:ext cx="2659578" cy="0"/>
            </a:xfrm>
            <a:prstGeom prst="straightConnector1">
              <a:avLst/>
            </a:prstGeom>
            <a:ln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95" name="Straight Arrow Connector 94"/>
            <xdr:cNvCxnSpPr/>
          </xdr:nvCxnSpPr>
          <xdr:spPr>
            <a:xfrm flipV="1">
              <a:off x="13111102" y="21145500"/>
              <a:ext cx="0" cy="1108364"/>
            </a:xfrm>
            <a:prstGeom prst="straightConnector1">
              <a:avLst/>
            </a:prstGeom>
            <a:ln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</xdr:grpSp>
    <xdr:clientData/>
  </xdr:twoCellAnchor>
  <xdr:twoCellAnchor editAs="oneCell">
    <xdr:from>
      <xdr:col>31</xdr:col>
      <xdr:colOff>0</xdr:colOff>
      <xdr:row>513</xdr:row>
      <xdr:rowOff>0</xdr:rowOff>
    </xdr:from>
    <xdr:to>
      <xdr:col>35</xdr:col>
      <xdr:colOff>716281</xdr:colOff>
      <xdr:row>529</xdr:row>
      <xdr:rowOff>94857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5948471" y="90218559"/>
          <a:ext cx="4609524" cy="3142857"/>
        </a:xfrm>
        <a:prstGeom prst="rect">
          <a:avLst/>
        </a:prstGeom>
      </xdr:spPr>
    </xdr:pic>
    <xdr:clientData/>
  </xdr:twoCellAnchor>
  <xdr:twoCellAnchor editAs="oneCell">
    <xdr:from>
      <xdr:col>27</xdr:col>
      <xdr:colOff>175892</xdr:colOff>
      <xdr:row>565</xdr:row>
      <xdr:rowOff>84043</xdr:rowOff>
    </xdr:from>
    <xdr:to>
      <xdr:col>31</xdr:col>
      <xdr:colOff>224118</xdr:colOff>
      <xdr:row>602</xdr:row>
      <xdr:rowOff>32283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3843" t="10579" r="67785" b="22517"/>
        <a:stretch/>
      </xdr:blipFill>
      <xdr:spPr>
        <a:xfrm>
          <a:off x="33177216" y="104253925"/>
          <a:ext cx="5258961" cy="7007946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358588</xdr:colOff>
      <xdr:row>8</xdr:row>
      <xdr:rowOff>151789</xdr:rowOff>
    </xdr:from>
    <xdr:to>
      <xdr:col>19</xdr:col>
      <xdr:colOff>235323</xdr:colOff>
      <xdr:row>30</xdr:row>
      <xdr:rowOff>106965</xdr:rowOff>
    </xdr:to>
    <xdr:sp macro="" textlink="">
      <xdr:nvSpPr>
        <xdr:cNvPr id="2" name="Rectangle 1"/>
        <xdr:cNvSpPr/>
      </xdr:nvSpPr>
      <xdr:spPr>
        <a:xfrm>
          <a:off x="7822724" y="1675789"/>
          <a:ext cx="4725826" cy="4146176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10</xdr:col>
      <xdr:colOff>554182</xdr:colOff>
      <xdr:row>6</xdr:row>
      <xdr:rowOff>173182</xdr:rowOff>
    </xdr:from>
    <xdr:to>
      <xdr:col>20</xdr:col>
      <xdr:colOff>121227</xdr:colOff>
      <xdr:row>32</xdr:row>
      <xdr:rowOff>86591</xdr:rowOff>
    </xdr:to>
    <xdr:sp macro="" textlink="">
      <xdr:nvSpPr>
        <xdr:cNvPr id="3" name="Rectangle 2"/>
        <xdr:cNvSpPr/>
      </xdr:nvSpPr>
      <xdr:spPr>
        <a:xfrm>
          <a:off x="7412182" y="1316182"/>
          <a:ext cx="5628409" cy="4866409"/>
        </a:xfrm>
        <a:prstGeom prst="rect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207819</xdr:colOff>
      <xdr:row>11</xdr:row>
      <xdr:rowOff>103909</xdr:rowOff>
    </xdr:from>
    <xdr:to>
      <xdr:col>25</xdr:col>
      <xdr:colOff>536865</xdr:colOff>
      <xdr:row>13</xdr:row>
      <xdr:rowOff>138545</xdr:rowOff>
    </xdr:to>
    <xdr:sp macro="" textlink="">
      <xdr:nvSpPr>
        <xdr:cNvPr id="4" name="Rectangle 3"/>
        <xdr:cNvSpPr/>
      </xdr:nvSpPr>
      <xdr:spPr>
        <a:xfrm>
          <a:off x="4046394" y="2199409"/>
          <a:ext cx="12521046" cy="41563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311727</xdr:colOff>
      <xdr:row>1</xdr:row>
      <xdr:rowOff>138545</xdr:rowOff>
    </xdr:from>
    <xdr:to>
      <xdr:col>15</xdr:col>
      <xdr:colOff>329045</xdr:colOff>
      <xdr:row>40</xdr:row>
      <xdr:rowOff>17318</xdr:rowOff>
    </xdr:to>
    <xdr:cxnSp macro="">
      <xdr:nvCxnSpPr>
        <xdr:cNvPr id="6" name="Straight Connector 5"/>
        <xdr:cNvCxnSpPr/>
      </xdr:nvCxnSpPr>
      <xdr:spPr>
        <a:xfrm flipH="1">
          <a:off x="10200409" y="329045"/>
          <a:ext cx="17318" cy="730827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-1</xdr:colOff>
      <xdr:row>19</xdr:row>
      <xdr:rowOff>103909</xdr:rowOff>
    </xdr:from>
    <xdr:to>
      <xdr:col>27</xdr:col>
      <xdr:colOff>381000</xdr:colOff>
      <xdr:row>19</xdr:row>
      <xdr:rowOff>103909</xdr:rowOff>
    </xdr:to>
    <xdr:cxnSp macro="">
      <xdr:nvCxnSpPr>
        <xdr:cNvPr id="8" name="Straight Connector 7"/>
        <xdr:cNvCxnSpPr/>
      </xdr:nvCxnSpPr>
      <xdr:spPr>
        <a:xfrm>
          <a:off x="3221181" y="3723409"/>
          <a:ext cx="14322137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537882</xdr:colOff>
      <xdr:row>1</xdr:row>
      <xdr:rowOff>89647</xdr:rowOff>
    </xdr:from>
    <xdr:to>
      <xdr:col>8</xdr:col>
      <xdr:colOff>582706</xdr:colOff>
      <xdr:row>1</xdr:row>
      <xdr:rowOff>89647</xdr:rowOff>
    </xdr:to>
    <xdr:cxnSp macro="">
      <xdr:nvCxnSpPr>
        <xdr:cNvPr id="4" name="Straight Arrow Connector 3"/>
        <xdr:cNvCxnSpPr/>
      </xdr:nvCxnSpPr>
      <xdr:spPr>
        <a:xfrm>
          <a:off x="4773706" y="280147"/>
          <a:ext cx="649941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324970</xdr:colOff>
      <xdr:row>1</xdr:row>
      <xdr:rowOff>78441</xdr:rowOff>
    </xdr:from>
    <xdr:to>
      <xdr:col>17</xdr:col>
      <xdr:colOff>481853</xdr:colOff>
      <xdr:row>1</xdr:row>
      <xdr:rowOff>100853</xdr:rowOff>
    </xdr:to>
    <xdr:cxnSp macro="">
      <xdr:nvCxnSpPr>
        <xdr:cNvPr id="7" name="Straight Arrow Connector 6"/>
        <xdr:cNvCxnSpPr/>
      </xdr:nvCxnSpPr>
      <xdr:spPr>
        <a:xfrm>
          <a:off x="7586382" y="268941"/>
          <a:ext cx="3182471" cy="2241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595440</xdr:colOff>
      <xdr:row>1</xdr:row>
      <xdr:rowOff>181915</xdr:rowOff>
    </xdr:from>
    <xdr:to>
      <xdr:col>50</xdr:col>
      <xdr:colOff>288660</xdr:colOff>
      <xdr:row>17</xdr:row>
      <xdr:rowOff>129887</xdr:rowOff>
    </xdr:to>
    <xdr:graphicFrame macro="">
      <xdr:nvGraphicFramePr>
        <xdr:cNvPr id="8" name="Chart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34</xdr:col>
      <xdr:colOff>242454</xdr:colOff>
      <xdr:row>2</xdr:row>
      <xdr:rowOff>675410</xdr:rowOff>
    </xdr:from>
    <xdr:to>
      <xdr:col>39</xdr:col>
      <xdr:colOff>1142999</xdr:colOff>
      <xdr:row>19</xdr:row>
      <xdr:rowOff>182452</xdr:rowOff>
    </xdr:to>
    <xdr:pic>
      <xdr:nvPicPr>
        <xdr:cNvPr id="13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652181" y="1056410"/>
          <a:ext cx="8659091" cy="33343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537882</xdr:colOff>
      <xdr:row>1</xdr:row>
      <xdr:rowOff>89647</xdr:rowOff>
    </xdr:from>
    <xdr:to>
      <xdr:col>8</xdr:col>
      <xdr:colOff>582706</xdr:colOff>
      <xdr:row>1</xdr:row>
      <xdr:rowOff>89647</xdr:rowOff>
    </xdr:to>
    <xdr:cxnSp macro="">
      <xdr:nvCxnSpPr>
        <xdr:cNvPr id="2" name="Straight Arrow Connector 1"/>
        <xdr:cNvCxnSpPr/>
      </xdr:nvCxnSpPr>
      <xdr:spPr>
        <a:xfrm>
          <a:off x="4805082" y="280147"/>
          <a:ext cx="654424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324970</xdr:colOff>
      <xdr:row>1</xdr:row>
      <xdr:rowOff>78441</xdr:rowOff>
    </xdr:from>
    <xdr:to>
      <xdr:col>15</xdr:col>
      <xdr:colOff>476250</xdr:colOff>
      <xdr:row>1</xdr:row>
      <xdr:rowOff>108857</xdr:rowOff>
    </xdr:to>
    <xdr:cxnSp macro="">
      <xdr:nvCxnSpPr>
        <xdr:cNvPr id="3" name="Straight Arrow Connector 2"/>
        <xdr:cNvCxnSpPr/>
      </xdr:nvCxnSpPr>
      <xdr:spPr>
        <a:xfrm>
          <a:off x="7672827" y="268941"/>
          <a:ext cx="1988244" cy="3041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38</xdr:col>
      <xdr:colOff>595440</xdr:colOff>
      <xdr:row>1</xdr:row>
      <xdr:rowOff>181915</xdr:rowOff>
    </xdr:from>
    <xdr:to>
      <xdr:col>50</xdr:col>
      <xdr:colOff>288660</xdr:colOff>
      <xdr:row>17</xdr:row>
      <xdr:rowOff>129887</xdr:rowOff>
    </xdr:to>
    <xdr:graphicFrame macro="">
      <xdr:nvGraphicFramePr>
        <xdr:cNvPr id="4" name="Chart 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34</xdr:col>
      <xdr:colOff>242454</xdr:colOff>
      <xdr:row>2</xdr:row>
      <xdr:rowOff>675410</xdr:rowOff>
    </xdr:from>
    <xdr:to>
      <xdr:col>39</xdr:col>
      <xdr:colOff>1142999</xdr:colOff>
      <xdr:row>19</xdr:row>
      <xdr:rowOff>182452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740504" y="1056410"/>
          <a:ext cx="8634845" cy="33265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queryTables/queryTable1.xml><?xml version="1.0" encoding="utf-8"?>
<queryTable xmlns="http://schemas.openxmlformats.org/spreadsheetml/2006/main" name="sd7062" connectionId="1" autoFormatId="16" applyNumberFormats="0" applyBorderFormats="0" applyFontFormats="1" applyPatternFormats="1" applyAlignmentFormats="0" applyWidthHeightFormats="0"/>
</file>

<file path=xl/tables/table1.xml><?xml version="1.0" encoding="utf-8"?>
<table xmlns="http://schemas.openxmlformats.org/spreadsheetml/2006/main" id="1" name="Table1" displayName="Table1" ref="Z6:AA39" totalsRowShown="0">
  <autoFilter ref="Z6:AA39"/>
  <sortState ref="Z7:AA39">
    <sortCondition ref="Z6:Z39"/>
  </sortState>
  <tableColumns count="2">
    <tableColumn id="1" name="x"/>
    <tableColumn id="2" name="y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id="3" name="Table3" displayName="Table3" ref="Z41:AA74" totalsRowShown="0">
  <autoFilter ref="Z41:AA74"/>
  <sortState ref="Z42:AA74">
    <sortCondition descending="1" ref="Z41:Z74"/>
  </sortState>
  <tableColumns count="2">
    <tableColumn id="1" name="x"/>
    <tableColumn id="2" name="y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id="10" name="Table711" displayName="Table711" ref="AM25:AN43" totalsRowShown="0">
  <autoFilter ref="AM25:AN43"/>
  <sortState ref="AM26:AN43">
    <sortCondition descending="1" ref="AM25:AM43"/>
  </sortState>
  <tableColumns count="2">
    <tableColumn id="1" name="Column1">
      <calculatedColumnFormula>Vertical!$AJ21/$Z$2</calculatedColumnFormula>
    </tableColumn>
    <tableColumn id="2" name="Column2">
      <calculatedColumnFormula>Vertical!$AK21/$Z$2</calculatedColumnFormula>
    </tableColumn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id="7" name="Table7" displayName="Table7" ref="AM25:AN43" totalsRowShown="0">
  <autoFilter ref="AM25:AN43"/>
  <sortState ref="AM26:AN43">
    <sortCondition descending="1" ref="AM25:AM43"/>
  </sortState>
  <tableColumns count="2">
    <tableColumn id="1" name="Column1">
      <calculatedColumnFormula>Horizontal!$AJ21/$Z$2</calculatedColumnFormula>
    </tableColumn>
    <tableColumn id="2" name="Column2">
      <calculatedColumnFormula>Horizontal!$AK21/$Z$2</calculatedColumnFormula>
    </tableColumn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id="2" name="Table2" displayName="Table2" ref="A19:J51" totalsRowShown="0" headerRowDxfId="3" headerRowBorderDxfId="2" tableBorderDxfId="1">
  <autoFilter ref="A19:J51"/>
  <sortState ref="A20:J51">
    <sortCondition ref="B19:B51"/>
  </sortState>
  <tableColumns count="10">
    <tableColumn id="1" name="Prop"/>
    <tableColumn id="2" name="Prop2"/>
    <tableColumn id="3" name="Input"/>
    <tableColumn id="4" name="Motor"/>
    <tableColumn id="5" name="Watts"/>
    <tableColumn id="6" name="Prop3" dataDxfId="0"/>
    <tableColumn id="7" name="Pitch"/>
    <tableColumn id="8" name="Thrust"/>
    <tableColumn id="9" name="Thrust4"/>
    <tableColumn id="10" name="Thrust Eff.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cstsales.com/rod_comp.html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://www.rctoys.com/pr/2009/05/25/all-about-brushless-motors-what-you-need-to-know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://www.rctoys.com/pr/2009/05/25/all-about-brushless-motors-what-you-need-to-know/" TargetMode="Externa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10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Relationship Id="rId4" Type="http://schemas.openxmlformats.org/officeDocument/2006/relationships/queryTable" Target="../queryTables/queryTable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://www.cstsales.com/Carbon_Fiber_Tubes-ss3.html" TargetMode="External"/><Relationship Id="rId2" Type="http://schemas.openxmlformats.org/officeDocument/2006/relationships/hyperlink" Target="http://www.cstsales.com/Carbon_Fiber_Tubes.html" TargetMode="External"/><Relationship Id="rId1" Type="http://schemas.openxmlformats.org/officeDocument/2006/relationships/hyperlink" Target="http://www.cstsales.com/Carbon_Fiber_Tubes.html" TargetMode="External"/><Relationship Id="rId6" Type="http://schemas.openxmlformats.org/officeDocument/2006/relationships/drawing" Target="../drawings/drawing3.xm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://www.cstsales.com/Carbon_Fiber_Tubes-ss2.html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hyperlink" Target="http://www.cstsales.com/Carbon_Fiber_Tubes-ss3.html" TargetMode="External"/><Relationship Id="rId2" Type="http://schemas.openxmlformats.org/officeDocument/2006/relationships/hyperlink" Target="http://www.cstsales.com/Carbon_Fiber_Tubes.html" TargetMode="External"/><Relationship Id="rId1" Type="http://schemas.openxmlformats.org/officeDocument/2006/relationships/hyperlink" Target="http://www.cstsales.com/Carbon_Fiber_Tubes.html" TargetMode="External"/><Relationship Id="rId6" Type="http://schemas.openxmlformats.org/officeDocument/2006/relationships/drawing" Target="../drawings/drawing6.xml"/><Relationship Id="rId5" Type="http://schemas.openxmlformats.org/officeDocument/2006/relationships/printerSettings" Target="../printerSettings/printerSettings6.bin"/><Relationship Id="rId4" Type="http://schemas.openxmlformats.org/officeDocument/2006/relationships/hyperlink" Target="http://www.cstsales.com/Carbon_Fiber_Tubes-ss2.html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X90"/>
  <sheetViews>
    <sheetView zoomScale="70" zoomScaleNormal="70" workbookViewId="0">
      <selection activeCell="F17" sqref="F16:F17"/>
    </sheetView>
  </sheetViews>
  <sheetFormatPr defaultRowHeight="15" x14ac:dyDescent="0.25"/>
  <cols>
    <col min="1" max="1" width="75.28515625" customWidth="1"/>
    <col min="3" max="3" width="12" bestFit="1" customWidth="1"/>
    <col min="4" max="4" width="11.5703125" bestFit="1" customWidth="1"/>
    <col min="13" max="13" width="9.140625" style="3"/>
    <col min="23" max="23" width="25.28515625" customWidth="1"/>
  </cols>
  <sheetData>
    <row r="1" spans="1:24" ht="18.75" x14ac:dyDescent="0.3">
      <c r="A1" s="58" t="s">
        <v>1826</v>
      </c>
      <c r="B1" t="s">
        <v>2131</v>
      </c>
      <c r="T1" t="s">
        <v>1847</v>
      </c>
      <c r="U1">
        <v>2.54</v>
      </c>
      <c r="V1" t="s">
        <v>1822</v>
      </c>
      <c r="W1">
        <v>1</v>
      </c>
      <c r="X1" t="s">
        <v>701</v>
      </c>
    </row>
    <row r="2" spans="1:24" x14ac:dyDescent="0.25">
      <c r="A2" s="59" t="s">
        <v>1827</v>
      </c>
    </row>
    <row r="3" spans="1:24" x14ac:dyDescent="0.25">
      <c r="A3" s="517" t="s">
        <v>1828</v>
      </c>
      <c r="B3" s="517"/>
      <c r="C3" s="60">
        <v>2760.7739999999999</v>
      </c>
    </row>
    <row r="4" spans="1:24" x14ac:dyDescent="0.25">
      <c r="A4" s="518" t="s">
        <v>1829</v>
      </c>
      <c r="B4" s="518"/>
      <c r="C4" s="61">
        <v>11.2</v>
      </c>
    </row>
    <row r="5" spans="1:24" x14ac:dyDescent="0.25">
      <c r="A5" s="519" t="s">
        <v>1830</v>
      </c>
      <c r="B5" s="519"/>
      <c r="C5" s="62">
        <v>50.874114955059305</v>
      </c>
    </row>
    <row r="6" spans="1:24" x14ac:dyDescent="0.25">
      <c r="A6" s="520" t="s">
        <v>1831</v>
      </c>
      <c r="B6" s="520"/>
      <c r="C6" s="63">
        <v>40</v>
      </c>
    </row>
    <row r="9" spans="1:24" x14ac:dyDescent="0.25">
      <c r="A9" s="59" t="s">
        <v>1832</v>
      </c>
    </row>
    <row r="10" spans="1:24" x14ac:dyDescent="0.25">
      <c r="A10" s="517" t="s">
        <v>1833</v>
      </c>
      <c r="B10" s="517"/>
      <c r="C10" s="60">
        <v>-867.02700000000004</v>
      </c>
    </row>
    <row r="11" spans="1:24" x14ac:dyDescent="0.25">
      <c r="A11" s="518" t="s">
        <v>1829</v>
      </c>
      <c r="B11" s="518"/>
      <c r="C11" s="61">
        <v>300.33999999999997</v>
      </c>
    </row>
    <row r="12" spans="1:24" x14ac:dyDescent="0.25">
      <c r="A12" s="519" t="s">
        <v>1830</v>
      </c>
      <c r="B12" s="519"/>
      <c r="C12" s="62">
        <v>44.998342426664422</v>
      </c>
    </row>
    <row r="13" spans="1:24" x14ac:dyDescent="0.25">
      <c r="A13" s="520" t="s">
        <v>1831</v>
      </c>
      <c r="B13" s="520"/>
      <c r="C13" s="63">
        <v>30</v>
      </c>
    </row>
    <row r="18" spans="1:23" x14ac:dyDescent="0.25">
      <c r="A18" t="s">
        <v>2174</v>
      </c>
      <c r="B18">
        <v>1.3</v>
      </c>
      <c r="C18" t="s">
        <v>2175</v>
      </c>
    </row>
    <row r="19" spans="1:23" x14ac:dyDescent="0.25">
      <c r="B19">
        <v>20.824002400000001</v>
      </c>
      <c r="C19" t="s">
        <v>2176</v>
      </c>
    </row>
    <row r="21" spans="1:23" x14ac:dyDescent="0.25">
      <c r="A21" t="s">
        <v>2277</v>
      </c>
    </row>
    <row r="22" spans="1:23" x14ac:dyDescent="0.25">
      <c r="D22" t="s">
        <v>2179</v>
      </c>
      <c r="E22" t="s">
        <v>2178</v>
      </c>
    </row>
    <row r="23" spans="1:23" x14ac:dyDescent="0.25">
      <c r="A23" s="327" t="s">
        <v>2177</v>
      </c>
      <c r="B23" s="327"/>
      <c r="C23" s="327"/>
      <c r="D23" s="327">
        <v>2E-3</v>
      </c>
      <c r="E23" s="327">
        <f>$B$19*D23</f>
        <v>4.1648004800000006E-2</v>
      </c>
      <c r="F23" s="327" t="s">
        <v>2067</v>
      </c>
    </row>
    <row r="24" spans="1:23" x14ac:dyDescent="0.25">
      <c r="A24" s="327" t="s">
        <v>2185</v>
      </c>
      <c r="B24" s="327"/>
      <c r="C24" s="327"/>
      <c r="D24" s="327">
        <v>0.01</v>
      </c>
      <c r="E24" s="327">
        <f>$B$19*D24</f>
        <v>0.20824002400000002</v>
      </c>
      <c r="F24" s="327" t="s">
        <v>2067</v>
      </c>
    </row>
    <row r="25" spans="1:23" ht="15.75" x14ac:dyDescent="0.25">
      <c r="A25" s="327" t="s">
        <v>2187</v>
      </c>
      <c r="B25" s="327"/>
      <c r="C25" s="327"/>
      <c r="D25" s="462">
        <v>3.4499999999999998E-4</v>
      </c>
      <c r="E25" s="327">
        <f>$B$19*D25</f>
        <v>7.1842808280000005E-3</v>
      </c>
      <c r="F25" s="327"/>
      <c r="P25" s="212" t="s">
        <v>2181</v>
      </c>
    </row>
    <row r="26" spans="1:23" ht="17.25" customHeight="1" x14ac:dyDescent="0.25">
      <c r="A26" s="327" t="s">
        <v>2183</v>
      </c>
      <c r="B26" s="327"/>
      <c r="C26" s="327"/>
      <c r="D26" s="327"/>
      <c r="E26" s="327">
        <f>T27*((10+12+10)/100)*2</f>
        <v>2.1837271039999998E-2</v>
      </c>
      <c r="F26" s="327" t="s">
        <v>2067</v>
      </c>
      <c r="P26" s="334">
        <v>2.54</v>
      </c>
      <c r="Q26" s="7">
        <v>18.7</v>
      </c>
      <c r="R26" s="7">
        <f>Q26/1000</f>
        <v>1.8699999999999998E-2</v>
      </c>
      <c r="S26" s="7"/>
      <c r="T26" s="7">
        <f>R26/$S$33</f>
        <v>3.0675853999999995E-2</v>
      </c>
      <c r="U26" s="7" t="s">
        <v>2180</v>
      </c>
      <c r="W26">
        <f>PI()/4*(Wing!AB123^2-Wing!AB124^2)</f>
        <v>3.1064068158695876E-2</v>
      </c>
    </row>
    <row r="27" spans="1:23" ht="17.25" customHeight="1" x14ac:dyDescent="0.25">
      <c r="A27" s="327" t="s">
        <v>2184</v>
      </c>
      <c r="B27" s="327"/>
      <c r="C27" s="327"/>
      <c r="D27" s="327"/>
      <c r="E27" s="327">
        <f>(Mid_Fuselage!H16/100)*2*Structures_Material!T26</f>
        <v>1.6661044751584437E-4</v>
      </c>
      <c r="F27" s="327" t="s">
        <v>2067</v>
      </c>
      <c r="G27">
        <f>E27+E26</f>
        <v>2.2003881487515843E-2</v>
      </c>
      <c r="P27" s="334">
        <v>0.312</v>
      </c>
      <c r="Q27" s="7">
        <v>20.8</v>
      </c>
      <c r="R27" s="7">
        <f>Q27/1000</f>
        <v>2.0799999999999999E-2</v>
      </c>
      <c r="S27" s="7"/>
      <c r="T27" s="7">
        <f>R27/$S$33</f>
        <v>3.4120735999999999E-2</v>
      </c>
      <c r="U27" s="7" t="s">
        <v>2180</v>
      </c>
      <c r="W27" s="335">
        <v>2.0041300000000001E-5</v>
      </c>
    </row>
    <row r="28" spans="1:23" ht="17.25" customHeight="1" x14ac:dyDescent="0.25">
      <c r="A28" s="327" t="s">
        <v>2182</v>
      </c>
      <c r="B28" s="327"/>
      <c r="C28" s="327"/>
      <c r="D28" s="327"/>
      <c r="E28" s="327">
        <f>T26*((Wing!H6+Wing!H7)/100)*2</f>
        <v>5.787853065744651E-4</v>
      </c>
      <c r="F28" s="327" t="s">
        <v>2067</v>
      </c>
      <c r="W28" s="336">
        <f>T26/W27</f>
        <v>1530.6319450335054</v>
      </c>
    </row>
    <row r="29" spans="1:23" ht="17.25" customHeight="1" x14ac:dyDescent="0.25">
      <c r="A29" s="327" t="s">
        <v>2186</v>
      </c>
      <c r="B29" s="327"/>
      <c r="C29" s="327"/>
      <c r="D29" s="463">
        <v>8.8900000000000003E-4</v>
      </c>
      <c r="E29" s="327">
        <f>$B$19*D29</f>
        <v>1.8512538133600001E-2</v>
      </c>
      <c r="F29" s="327" t="s">
        <v>2067</v>
      </c>
    </row>
    <row r="30" spans="1:23" ht="17.25" customHeight="1" x14ac:dyDescent="0.25">
      <c r="A30" s="327" t="s">
        <v>2188</v>
      </c>
      <c r="B30" s="327"/>
      <c r="C30" s="327"/>
      <c r="D30" s="464">
        <v>6.7190000000000001E-4</v>
      </c>
      <c r="E30" s="327">
        <f>$B$19*D30</f>
        <v>1.3991647212560002E-2</v>
      </c>
      <c r="F30" s="327" t="s">
        <v>2067</v>
      </c>
    </row>
    <row r="31" spans="1:23" ht="17.25" customHeight="1" x14ac:dyDescent="0.25">
      <c r="A31" s="327" t="s">
        <v>2189</v>
      </c>
      <c r="B31" s="327"/>
      <c r="C31" s="327"/>
      <c r="D31" s="462">
        <v>2.109E-4</v>
      </c>
      <c r="E31" s="327">
        <f>$B$19*D31</f>
        <v>4.3917821061600004E-3</v>
      </c>
      <c r="F31" s="327" t="s">
        <v>2067</v>
      </c>
      <c r="P31" t="s">
        <v>1823</v>
      </c>
      <c r="Q31">
        <v>1</v>
      </c>
      <c r="R31">
        <v>3.28084</v>
      </c>
      <c r="S31" t="s">
        <v>1999</v>
      </c>
    </row>
    <row r="32" spans="1:23" ht="17.25" customHeight="1" x14ac:dyDescent="0.25">
      <c r="A32" s="327"/>
      <c r="B32" s="327"/>
      <c r="C32" s="327"/>
      <c r="D32" s="327" t="s">
        <v>2190</v>
      </c>
      <c r="E32" s="327">
        <f>SUM(E23:E31)</f>
        <v>0.31655094387441035</v>
      </c>
      <c r="F32" s="327"/>
    </row>
    <row r="33" spans="18:19" ht="17.25" customHeight="1" x14ac:dyDescent="0.25">
      <c r="R33">
        <v>2</v>
      </c>
      <c r="S33">
        <f>R33/R31</f>
        <v>0.60959998049280062</v>
      </c>
    </row>
    <row r="34" spans="18:19" ht="17.25" customHeight="1" x14ac:dyDescent="0.25"/>
    <row r="35" spans="18:19" ht="17.25" customHeight="1" x14ac:dyDescent="0.25"/>
    <row r="36" spans="18:19" ht="17.25" customHeight="1" x14ac:dyDescent="0.25"/>
    <row r="37" spans="18:19" ht="17.25" customHeight="1" x14ac:dyDescent="0.25"/>
    <row r="51" spans="1:17" ht="15.75" x14ac:dyDescent="0.25">
      <c r="A51" s="516" t="s">
        <v>739</v>
      </c>
      <c r="B51" s="516"/>
      <c r="C51" s="516"/>
      <c r="D51" s="34"/>
      <c r="E51" s="516" t="s">
        <v>740</v>
      </c>
      <c r="F51" s="516"/>
      <c r="G51" s="516"/>
      <c r="H51" s="34"/>
      <c r="I51" s="516" t="s">
        <v>738</v>
      </c>
      <c r="J51" s="516"/>
      <c r="K51" s="516"/>
      <c r="L51" s="34"/>
      <c r="M51" s="516" t="s">
        <v>741</v>
      </c>
      <c r="N51" s="516"/>
      <c r="O51" s="516"/>
    </row>
    <row r="52" spans="1:17" x14ac:dyDescent="0.25">
      <c r="A52" s="33"/>
      <c r="B52" s="35" t="s">
        <v>742</v>
      </c>
      <c r="C52" s="35"/>
      <c r="D52" s="35" t="s">
        <v>743</v>
      </c>
      <c r="E52" s="34"/>
      <c r="F52" s="35" t="s">
        <v>742</v>
      </c>
      <c r="G52" s="35"/>
      <c r="H52" s="35" t="s">
        <v>743</v>
      </c>
      <c r="I52" s="34"/>
      <c r="J52" s="35" t="s">
        <v>742</v>
      </c>
      <c r="K52" s="35"/>
      <c r="L52" s="35" t="s">
        <v>743</v>
      </c>
      <c r="M52" s="34"/>
      <c r="N52" s="35" t="s">
        <v>742</v>
      </c>
      <c r="O52" s="35"/>
      <c r="P52" s="35" t="s">
        <v>743</v>
      </c>
    </row>
    <row r="53" spans="1:17" x14ac:dyDescent="0.25">
      <c r="A53" s="36" t="s">
        <v>744</v>
      </c>
      <c r="B53" s="37">
        <v>0.67</v>
      </c>
      <c r="C53" s="38"/>
      <c r="D53" s="37">
        <v>0.67</v>
      </c>
      <c r="E53" s="34"/>
      <c r="F53" s="37">
        <v>0.63</v>
      </c>
      <c r="G53" s="38"/>
      <c r="H53" s="37">
        <v>0.63</v>
      </c>
      <c r="I53" s="34"/>
      <c r="J53" s="37">
        <v>0.63</v>
      </c>
      <c r="K53" s="38"/>
      <c r="L53" s="37">
        <v>0.63</v>
      </c>
      <c r="M53" s="34"/>
      <c r="N53" s="37">
        <v>0.6</v>
      </c>
      <c r="O53" s="38"/>
      <c r="P53" s="37">
        <v>0.6</v>
      </c>
    </row>
    <row r="54" spans="1:17" x14ac:dyDescent="0.25">
      <c r="A54" s="36" t="s">
        <v>745</v>
      </c>
      <c r="B54" s="38" t="s">
        <v>746</v>
      </c>
      <c r="C54" s="38"/>
      <c r="D54" s="38" t="s">
        <v>747</v>
      </c>
      <c r="E54" s="34"/>
      <c r="F54" s="38" t="s">
        <v>748</v>
      </c>
      <c r="G54" s="38"/>
      <c r="H54" s="38" t="s">
        <v>749</v>
      </c>
      <c r="I54" s="34"/>
      <c r="J54" s="38" t="s">
        <v>750</v>
      </c>
      <c r="K54" s="38"/>
      <c r="L54" s="38" t="s">
        <v>751</v>
      </c>
      <c r="M54" s="34"/>
      <c r="N54" s="38" t="s">
        <v>752</v>
      </c>
      <c r="O54" s="38"/>
      <c r="P54" s="38" t="s">
        <v>753</v>
      </c>
    </row>
    <row r="55" spans="1:17" x14ac:dyDescent="0.25">
      <c r="A55" s="36" t="s">
        <v>754</v>
      </c>
      <c r="B55" s="38" t="s">
        <v>755</v>
      </c>
      <c r="C55" s="38"/>
      <c r="D55" s="38" t="s">
        <v>756</v>
      </c>
      <c r="E55" s="34"/>
      <c r="F55" s="38" t="s">
        <v>757</v>
      </c>
      <c r="G55" s="38"/>
      <c r="H55" s="38" t="s">
        <v>758</v>
      </c>
      <c r="I55" s="34"/>
      <c r="J55" s="38" t="s">
        <v>759</v>
      </c>
      <c r="K55" s="38"/>
      <c r="L55" s="38" t="s">
        <v>760</v>
      </c>
      <c r="M55" s="34"/>
      <c r="N55" s="38" t="s">
        <v>755</v>
      </c>
      <c r="O55" s="38"/>
      <c r="P55" s="38" t="s">
        <v>756</v>
      </c>
    </row>
    <row r="56" spans="1:17" x14ac:dyDescent="0.25">
      <c r="A56" s="36" t="s">
        <v>761</v>
      </c>
      <c r="B56" s="38" t="s">
        <v>762</v>
      </c>
      <c r="C56" s="38"/>
      <c r="D56" s="38" t="s">
        <v>763</v>
      </c>
      <c r="E56" s="34"/>
      <c r="F56" s="38" t="s">
        <v>764</v>
      </c>
      <c r="G56" s="38"/>
      <c r="H56" s="38" t="s">
        <v>765</v>
      </c>
      <c r="I56" s="34"/>
      <c r="J56" s="38" t="s">
        <v>766</v>
      </c>
      <c r="K56" s="38"/>
      <c r="L56" s="38" t="s">
        <v>767</v>
      </c>
      <c r="M56" s="34"/>
      <c r="N56" s="38" t="s">
        <v>768</v>
      </c>
      <c r="O56" s="38"/>
      <c r="P56" s="38" t="s">
        <v>768</v>
      </c>
    </row>
    <row r="58" spans="1:17" x14ac:dyDescent="0.25">
      <c r="B58" s="7" t="str">
        <f>LEFT(B54,3)</f>
        <v>320</v>
      </c>
      <c r="C58" s="7" t="str">
        <f>RIGHT(B54,3)</f>
        <v>ksi</v>
      </c>
      <c r="D58" s="7" t="str">
        <f>LEFT(D54,4)</f>
        <v>2.21</v>
      </c>
      <c r="E58" s="7" t="str">
        <f>RIGHT(D54,3)</f>
        <v>Gpa</v>
      </c>
      <c r="F58" s="7" t="str">
        <f>LEFT(F54,3)</f>
        <v>348</v>
      </c>
      <c r="G58" s="7" t="str">
        <f>RIGHT(F54,3)</f>
        <v>ksi</v>
      </c>
      <c r="H58" s="7" t="str">
        <f>LEFT(H54,4)</f>
        <v>2.40</v>
      </c>
      <c r="I58" s="7" t="str">
        <f>RIGHT(H54,3)</f>
        <v>Gpa</v>
      </c>
      <c r="J58" s="7" t="str">
        <f>LEFT(J54,3)</f>
        <v>363</v>
      </c>
      <c r="K58" s="7" t="str">
        <f>RIGHT(J54,3)</f>
        <v>ksi</v>
      </c>
      <c r="L58" s="7" t="str">
        <f>LEFT(L54,3)</f>
        <v>2.5</v>
      </c>
      <c r="M58" s="7" t="str">
        <f>RIGHT(L54,3)</f>
        <v>Gpa</v>
      </c>
      <c r="N58" s="7" t="str">
        <f>LEFT(N54,3)</f>
        <v>250</v>
      </c>
      <c r="O58" s="7" t="str">
        <f>RIGHT(N54,3)</f>
        <v>ksi</v>
      </c>
      <c r="P58" s="7" t="str">
        <f>LEFT(P54,3)</f>
        <v>1.7</v>
      </c>
      <c r="Q58" s="7" t="str">
        <f>RIGHT(P54,3)</f>
        <v>Gpa</v>
      </c>
    </row>
    <row r="59" spans="1:17" x14ac:dyDescent="0.25">
      <c r="B59" s="7" t="str">
        <f>LEFT(B55,4)</f>
        <v>19.5</v>
      </c>
      <c r="C59" s="7" t="str">
        <f t="shared" ref="C59:E60" si="0">RIGHT(B55,3)</f>
        <v>msi</v>
      </c>
      <c r="D59" s="7" t="str">
        <f>LEFT(D55,3)</f>
        <v>134</v>
      </c>
      <c r="E59" s="7" t="str">
        <f t="shared" si="0"/>
        <v>Gpa</v>
      </c>
      <c r="F59" s="7" t="str">
        <f>LEFT(F55,4)</f>
        <v>34.9</v>
      </c>
      <c r="G59" s="7" t="str">
        <f>RIGHT(F55,3)</f>
        <v>msi</v>
      </c>
      <c r="H59" s="7" t="str">
        <f t="shared" ref="H59:J60" si="1">LEFT(H55,4)</f>
        <v xml:space="preserve">240 </v>
      </c>
      <c r="I59" s="7" t="str">
        <f>RIGHT(H55,3)</f>
        <v>Gpa</v>
      </c>
      <c r="J59" s="7" t="str">
        <f t="shared" si="1"/>
        <v>20.7</v>
      </c>
      <c r="K59" s="7" t="str">
        <f>RIGHT(J55,3)</f>
        <v>msi</v>
      </c>
      <c r="L59" s="7" t="str">
        <f>LEFT(L55,4)</f>
        <v xml:space="preserve">140 </v>
      </c>
      <c r="M59" s="7" t="str">
        <f>RIGHT(L55,3)</f>
        <v>Gpa</v>
      </c>
      <c r="N59" s="7" t="str">
        <f>LEFT(N55,4)</f>
        <v>19.5</v>
      </c>
      <c r="O59" s="7" t="str">
        <f>RIGHT(N55,3)</f>
        <v>msi</v>
      </c>
      <c r="P59" s="7" t="str">
        <f>LEFT(P55,4)</f>
        <v xml:space="preserve">134 </v>
      </c>
      <c r="Q59" s="7" t="str">
        <f>RIGHT(P55,3)</f>
        <v>Gpa</v>
      </c>
    </row>
    <row r="60" spans="1:17" x14ac:dyDescent="0.25">
      <c r="B60" s="7" t="str">
        <f>LEFT(B56,3)</f>
        <v>256</v>
      </c>
      <c r="C60" s="7" t="str">
        <f t="shared" si="0"/>
        <v>ksi</v>
      </c>
      <c r="D60" s="7" t="str">
        <f>LEFT(D56,3)</f>
        <v>1.7</v>
      </c>
      <c r="E60" s="7" t="str">
        <f t="shared" si="0"/>
        <v>Gpa</v>
      </c>
      <c r="F60" s="7" t="str">
        <f>LEFT(F56,3)</f>
        <v>145</v>
      </c>
      <c r="G60" s="7" t="str">
        <f>RIGHT(F56,3)</f>
        <v>ksi</v>
      </c>
      <c r="H60" s="7" t="str">
        <f t="shared" si="1"/>
        <v>1.00</v>
      </c>
      <c r="I60" s="7" t="str">
        <f>RIGHT(H56,3)</f>
        <v>Gpa</v>
      </c>
      <c r="J60" s="7" t="str">
        <f t="shared" si="1"/>
        <v xml:space="preserve">232 </v>
      </c>
      <c r="K60" s="7" t="str">
        <f>RIGHT(J56,3)</f>
        <v>ksi</v>
      </c>
      <c r="L60" s="7" t="str">
        <f>LEFT(L56,4)</f>
        <v>1.60</v>
      </c>
      <c r="M60" s="7" t="str">
        <f>RIGHT(L56,3)</f>
        <v>Gpa</v>
      </c>
      <c r="N60" s="7" t="str">
        <f>LEFT(N56,4)</f>
        <v>NA</v>
      </c>
      <c r="O60" s="7" t="str">
        <f>RIGHT(N56,3)</f>
        <v>NA</v>
      </c>
      <c r="P60" s="7" t="str">
        <f>LEFT(P56,4)</f>
        <v>NA</v>
      </c>
      <c r="Q60" s="7" t="str">
        <f>RIGHT(P56,3)</f>
        <v>NA</v>
      </c>
    </row>
    <row r="64" spans="1:17" x14ac:dyDescent="0.25">
      <c r="A64" t="s">
        <v>771</v>
      </c>
      <c r="B64" t="s">
        <v>773</v>
      </c>
    </row>
    <row r="65" spans="1:2" x14ac:dyDescent="0.25">
      <c r="A65" t="s">
        <v>772</v>
      </c>
      <c r="B65" t="s">
        <v>774</v>
      </c>
    </row>
    <row r="78" spans="1:2" x14ac:dyDescent="0.25">
      <c r="A78" t="s">
        <v>770</v>
      </c>
    </row>
    <row r="90" spans="19:19" x14ac:dyDescent="0.25">
      <c r="S90" s="32" t="s">
        <v>769</v>
      </c>
    </row>
  </sheetData>
  <mergeCells count="12">
    <mergeCell ref="A51:C51"/>
    <mergeCell ref="E51:G51"/>
    <mergeCell ref="I51:K51"/>
    <mergeCell ref="M51:O51"/>
    <mergeCell ref="A3:B3"/>
    <mergeCell ref="A4:B4"/>
    <mergeCell ref="A5:B5"/>
    <mergeCell ref="A6:B6"/>
    <mergeCell ref="A10:B10"/>
    <mergeCell ref="A11:B11"/>
    <mergeCell ref="A12:B12"/>
    <mergeCell ref="A13:B13"/>
  </mergeCells>
  <hyperlinks>
    <hyperlink ref="S90" r:id="rId1"/>
  </hyperlinks>
  <pageMargins left="0.7" right="0.7" top="0.75" bottom="0.75" header="0.3" footer="0.3"/>
  <pageSetup orientation="portrait" r:id="rId2"/>
  <drawing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BN790"/>
  <sheetViews>
    <sheetView topLeftCell="AN6" zoomScale="70" zoomScaleNormal="70" workbookViewId="0">
      <selection activeCell="AK36" sqref="AK36"/>
    </sheetView>
  </sheetViews>
  <sheetFormatPr defaultRowHeight="15" x14ac:dyDescent="0.25"/>
  <cols>
    <col min="29" max="29" width="10.5703125" style="5" customWidth="1"/>
    <col min="30" max="31" width="9.140625" style="3"/>
    <col min="32" max="32" width="17.85546875" bestFit="1" customWidth="1"/>
    <col min="33" max="33" width="19" bestFit="1" customWidth="1"/>
    <col min="34" max="34" width="15.7109375" bestFit="1" customWidth="1"/>
    <col min="35" max="35" width="19.140625" customWidth="1"/>
    <col min="36" max="36" width="16" bestFit="1" customWidth="1"/>
    <col min="37" max="37" width="55.7109375" bestFit="1" customWidth="1"/>
    <col min="38" max="38" width="16" customWidth="1"/>
    <col min="40" max="40" width="33.28515625" customWidth="1"/>
    <col min="41" max="41" width="13" customWidth="1"/>
    <col min="45" max="46" width="10.42578125" customWidth="1"/>
    <col min="61" max="61" width="20.5703125" customWidth="1"/>
  </cols>
  <sheetData>
    <row r="1" spans="1:66" x14ac:dyDescent="0.25">
      <c r="A1" s="1" t="s">
        <v>0</v>
      </c>
      <c r="AC1" s="4"/>
      <c r="AD1" s="2"/>
      <c r="AE1" s="2"/>
      <c r="BG1" t="s">
        <v>731</v>
      </c>
      <c r="BH1" s="29">
        <v>0.95</v>
      </c>
      <c r="BI1" s="7" t="s">
        <v>732</v>
      </c>
    </row>
    <row r="2" spans="1:66" x14ac:dyDescent="0.25">
      <c r="A2" s="1" t="s">
        <v>1</v>
      </c>
      <c r="H2" t="s">
        <v>689</v>
      </c>
      <c r="J2" t="s">
        <v>691</v>
      </c>
      <c r="S2" t="s">
        <v>692</v>
      </c>
      <c r="BH2" s="30">
        <v>0.85</v>
      </c>
      <c r="BI2" s="12" t="s">
        <v>733</v>
      </c>
      <c r="BJ2" t="s">
        <v>735</v>
      </c>
      <c r="BK2" s="32" t="s">
        <v>736</v>
      </c>
    </row>
    <row r="3" spans="1:66" ht="60" x14ac:dyDescent="0.25">
      <c r="A3" s="1" t="s">
        <v>1</v>
      </c>
      <c r="H3" s="6" t="s">
        <v>690</v>
      </c>
      <c r="BH3" s="30">
        <v>0.99</v>
      </c>
      <c r="BI3" s="12" t="s">
        <v>734</v>
      </c>
      <c r="BL3" t="s">
        <v>737</v>
      </c>
    </row>
    <row r="4" spans="1:66" x14ac:dyDescent="0.25">
      <c r="A4" s="1" t="s">
        <v>2</v>
      </c>
      <c r="BH4" s="30"/>
      <c r="BI4" s="12"/>
    </row>
    <row r="5" spans="1:66" x14ac:dyDescent="0.25">
      <c r="A5" s="1" t="s">
        <v>1</v>
      </c>
      <c r="BH5" s="30"/>
      <c r="BI5" s="12"/>
    </row>
    <row r="6" spans="1:66" x14ac:dyDescent="0.25">
      <c r="A6" s="1" t="s">
        <v>3</v>
      </c>
      <c r="BH6" s="30"/>
      <c r="BI6" s="12"/>
    </row>
    <row r="7" spans="1:66" x14ac:dyDescent="0.25">
      <c r="A7" s="1" t="s">
        <v>4</v>
      </c>
      <c r="BH7" s="30"/>
      <c r="BI7" s="12"/>
    </row>
    <row r="8" spans="1:66" x14ac:dyDescent="0.25">
      <c r="A8" s="1" t="s">
        <v>5</v>
      </c>
      <c r="BH8" s="30"/>
      <c r="BI8" s="12"/>
    </row>
    <row r="9" spans="1:66" ht="15.75" thickBot="1" x14ac:dyDescent="0.3">
      <c r="A9" s="1" t="s">
        <v>6</v>
      </c>
      <c r="BH9" s="31"/>
      <c r="BI9" s="15"/>
    </row>
    <row r="10" spans="1:66" x14ac:dyDescent="0.25">
      <c r="A10" s="1" t="s">
        <v>7</v>
      </c>
    </row>
    <row r="11" spans="1:66" x14ac:dyDescent="0.25">
      <c r="A11" s="1" t="s">
        <v>8</v>
      </c>
      <c r="BL11" t="s">
        <v>775</v>
      </c>
    </row>
    <row r="12" spans="1:66" x14ac:dyDescent="0.25">
      <c r="A12" s="1" t="s">
        <v>1</v>
      </c>
      <c r="BL12">
        <f>(1/60)*(1/12)*(9)*(AJ38)</f>
        <v>80.199999999999989</v>
      </c>
      <c r="BM12" t="s">
        <v>721</v>
      </c>
      <c r="BN12">
        <f>BL12*3600/5280</f>
        <v>54.681818181818173</v>
      </c>
    </row>
    <row r="13" spans="1:66" x14ac:dyDescent="0.25">
      <c r="A13" s="1" t="s">
        <v>1</v>
      </c>
      <c r="AC13" s="5" t="s">
        <v>688</v>
      </c>
    </row>
    <row r="14" spans="1:66" x14ac:dyDescent="0.25">
      <c r="A14" s="1" t="s">
        <v>661</v>
      </c>
      <c r="J14">
        <v>1000</v>
      </c>
      <c r="S14">
        <v>1000</v>
      </c>
      <c r="AC14" s="5" t="str">
        <f>CONCATENATE($V$16,$AC$13,S14)</f>
        <v>Ct@1000</v>
      </c>
      <c r="AD14" s="3" t="str">
        <f>CONCATENATE($W$16,$AC$13,S14)</f>
        <v>Cp@1000</v>
      </c>
      <c r="AE14" s="3" t="str">
        <f>CONCATENATE($AF$16,$AC$13,S14)</f>
        <v>Kq@1000</v>
      </c>
    </row>
    <row r="15" spans="1:66" x14ac:dyDescent="0.25">
      <c r="A15" s="1" t="s">
        <v>1</v>
      </c>
    </row>
    <row r="16" spans="1:66" x14ac:dyDescent="0.25">
      <c r="A16" s="1" t="s">
        <v>9</v>
      </c>
      <c r="J16" t="str">
        <f>A16</f>
        <v xml:space="preserve">         V          J           Pe         Ct          Cp          PWR         Torque      Thrust             </v>
      </c>
      <c r="S16" t="s">
        <v>662</v>
      </c>
      <c r="T16" t="s">
        <v>663</v>
      </c>
      <c r="U16" t="s">
        <v>664</v>
      </c>
      <c r="V16" t="s">
        <v>665</v>
      </c>
      <c r="W16" t="s">
        <v>666</v>
      </c>
      <c r="X16" t="s">
        <v>667</v>
      </c>
      <c r="Y16" t="s">
        <v>668</v>
      </c>
      <c r="Z16" t="s">
        <v>669</v>
      </c>
      <c r="AF16" t="s">
        <v>702</v>
      </c>
      <c r="AG16" t="s">
        <v>698</v>
      </c>
      <c r="AH16" t="s">
        <v>700</v>
      </c>
    </row>
    <row r="17" spans="1:56" x14ac:dyDescent="0.25">
      <c r="A17" s="1" t="s">
        <v>10</v>
      </c>
      <c r="J17" t="str">
        <f t="shared" ref="J17:J47" si="0">A17</f>
        <v xml:space="preserve">       (mph)     (Adv Ratio)                                       (Hp)        (In-Lbf)     (Lbf)             </v>
      </c>
      <c r="S17" t="s">
        <v>670</v>
      </c>
      <c r="T17" t="s">
        <v>671</v>
      </c>
      <c r="X17" t="s">
        <v>672</v>
      </c>
      <c r="Y17" t="s">
        <v>673</v>
      </c>
      <c r="Z17" t="s">
        <v>674</v>
      </c>
      <c r="AF17" t="s">
        <v>703</v>
      </c>
      <c r="AG17" t="s">
        <v>699</v>
      </c>
      <c r="AH17" t="s">
        <v>699</v>
      </c>
    </row>
    <row r="18" spans="1:56" x14ac:dyDescent="0.25">
      <c r="A18" s="1" t="s">
        <v>11</v>
      </c>
      <c r="J18" t="str">
        <f t="shared" si="0"/>
        <v xml:space="preserve">         0.0        0.00      0.0000      0.1321      0.0793       0.000       0.024       0.028              </v>
      </c>
      <c r="S18">
        <v>0</v>
      </c>
      <c r="T18">
        <v>0</v>
      </c>
      <c r="U18">
        <v>0</v>
      </c>
      <c r="V18">
        <v>0.1321</v>
      </c>
      <c r="W18">
        <v>7.9299999999999995E-2</v>
      </c>
      <c r="X18">
        <v>0</v>
      </c>
      <c r="Y18">
        <v>2.4E-2</v>
      </c>
      <c r="Z18">
        <v>2.8000000000000001E-2</v>
      </c>
      <c r="AF18">
        <f t="shared" ref="AF18:AF46" si="1">(Y18*(1/12))/(AG18*(($S$14*(1/60))^2)*($AJ$36*(1/12))^5)</f>
        <v>1.2580952380952378E-2</v>
      </c>
      <c r="AG18">
        <f t="shared" ref="AG18:AG46" si="2">Z18/(V18*(($S$14*(1/60))^2)*(($AJ$36*(1/12))^4))</f>
        <v>2.4116410127008156E-3</v>
      </c>
      <c r="AH18">
        <f>AVERAGE(AG18:AG46)</f>
        <v>2.3932858848953178E-3</v>
      </c>
    </row>
    <row r="19" spans="1:56" x14ac:dyDescent="0.25">
      <c r="A19" s="1" t="s">
        <v>12</v>
      </c>
      <c r="J19" t="str">
        <f t="shared" si="0"/>
        <v xml:space="preserve">         0.4        0.04      0.0705      0.1323      0.0811       0.000       0.024       0.028              </v>
      </c>
      <c r="S19">
        <v>0.4</v>
      </c>
      <c r="T19">
        <v>0.04</v>
      </c>
      <c r="U19">
        <v>7.0499999999999993E-2</v>
      </c>
      <c r="V19">
        <v>0.1323</v>
      </c>
      <c r="W19">
        <v>8.1100000000000005E-2</v>
      </c>
      <c r="X19">
        <v>0</v>
      </c>
      <c r="Y19">
        <v>2.4E-2</v>
      </c>
      <c r="Z19">
        <v>2.8000000000000001E-2</v>
      </c>
      <c r="AF19">
        <f t="shared" si="1"/>
        <v>1.2599999999999998E-2</v>
      </c>
      <c r="AG19">
        <f t="shared" si="2"/>
        <v>2.4079952968841857E-3</v>
      </c>
    </row>
    <row r="20" spans="1:56" x14ac:dyDescent="0.25">
      <c r="A20" s="1" t="s">
        <v>13</v>
      </c>
      <c r="J20" t="str">
        <f t="shared" si="0"/>
        <v xml:space="preserve">         0.7        0.09      0.1379      0.1324      0.0831       0.000       0.025       0.028              </v>
      </c>
      <c r="S20">
        <v>0.7</v>
      </c>
      <c r="T20">
        <v>0.09</v>
      </c>
      <c r="U20">
        <v>0.13789999999999999</v>
      </c>
      <c r="V20">
        <v>0.13239999999999999</v>
      </c>
      <c r="W20">
        <v>8.3099999999999993E-2</v>
      </c>
      <c r="X20">
        <v>0</v>
      </c>
      <c r="Y20">
        <v>2.5000000000000001E-2</v>
      </c>
      <c r="Z20">
        <v>2.8000000000000001E-2</v>
      </c>
      <c r="AF20">
        <f t="shared" si="1"/>
        <v>1.3134920634920631E-2</v>
      </c>
      <c r="AG20">
        <f t="shared" si="2"/>
        <v>2.4061765693185635E-3</v>
      </c>
    </row>
    <row r="21" spans="1:56" x14ac:dyDescent="0.25">
      <c r="A21" s="1" t="s">
        <v>14</v>
      </c>
      <c r="J21" t="str">
        <f t="shared" si="0"/>
        <v xml:space="preserve">         1.1        0.13      0.2022      0.1326      0.0851       0.000       0.025       0.028              </v>
      </c>
      <c r="S21">
        <v>1.1000000000000001</v>
      </c>
      <c r="T21">
        <v>0.13</v>
      </c>
      <c r="U21">
        <v>0.20219999999999999</v>
      </c>
      <c r="V21">
        <v>0.1326</v>
      </c>
      <c r="W21">
        <v>8.5099999999999995E-2</v>
      </c>
      <c r="X21">
        <v>0</v>
      </c>
      <c r="Y21">
        <v>2.5000000000000001E-2</v>
      </c>
      <c r="Z21">
        <v>2.8000000000000001E-2</v>
      </c>
      <c r="AF21">
        <f t="shared" si="1"/>
        <v>1.3154761904761903E-2</v>
      </c>
      <c r="AG21">
        <f t="shared" si="2"/>
        <v>2.4025473437238143E-3</v>
      </c>
    </row>
    <row r="22" spans="1:56" ht="15.75" thickBot="1" x14ac:dyDescent="0.3">
      <c r="A22" s="1" t="s">
        <v>15</v>
      </c>
      <c r="J22" t="str">
        <f t="shared" si="0"/>
        <v xml:space="preserve">         1.5        0.17      0.2631      0.1327      0.0873       0.000       0.026       0.028              </v>
      </c>
      <c r="S22">
        <v>1.5</v>
      </c>
      <c r="T22">
        <v>0.17</v>
      </c>
      <c r="U22">
        <v>0.2631</v>
      </c>
      <c r="V22">
        <v>0.13270000000000001</v>
      </c>
      <c r="W22">
        <v>8.7300000000000003E-2</v>
      </c>
      <c r="X22">
        <v>0</v>
      </c>
      <c r="Y22">
        <v>2.5999999999999999E-2</v>
      </c>
      <c r="Z22">
        <v>2.8000000000000001E-2</v>
      </c>
      <c r="AF22">
        <f t="shared" si="1"/>
        <v>1.3691269841269841E-2</v>
      </c>
      <c r="AG22">
        <f t="shared" si="2"/>
        <v>2.4007368332914672E-3</v>
      </c>
    </row>
    <row r="23" spans="1:56" ht="15.75" thickBot="1" x14ac:dyDescent="0.3">
      <c r="A23" s="1" t="s">
        <v>16</v>
      </c>
      <c r="J23" t="str">
        <f t="shared" si="0"/>
        <v xml:space="preserve">         1.8        0.22      0.3211      0.1328      0.0894       0.000       0.027       0.028              </v>
      </c>
      <c r="S23">
        <v>1.8</v>
      </c>
      <c r="T23">
        <v>0.22</v>
      </c>
      <c r="U23">
        <v>0.3211</v>
      </c>
      <c r="V23">
        <v>0.1328</v>
      </c>
      <c r="W23">
        <v>8.9399999999999993E-2</v>
      </c>
      <c r="X23">
        <v>0</v>
      </c>
      <c r="Y23">
        <v>2.7E-2</v>
      </c>
      <c r="Z23">
        <v>2.8000000000000001E-2</v>
      </c>
      <c r="AF23">
        <f t="shared" si="1"/>
        <v>1.4228571428571425E-2</v>
      </c>
      <c r="AG23">
        <f t="shared" si="2"/>
        <v>2.398929049531459E-3</v>
      </c>
      <c r="AO23" s="21" t="s">
        <v>705</v>
      </c>
      <c r="AP23" s="9" t="s">
        <v>706</v>
      </c>
      <c r="AQ23" s="9" t="s">
        <v>707</v>
      </c>
      <c r="AR23" s="9" t="s">
        <v>708</v>
      </c>
      <c r="AS23" s="9" t="s">
        <v>709</v>
      </c>
      <c r="AT23" s="9"/>
      <c r="AU23" s="9"/>
      <c r="AV23" s="9"/>
      <c r="AW23" s="9"/>
      <c r="AX23" s="10"/>
      <c r="AZ23" s="20" t="s">
        <v>705</v>
      </c>
      <c r="BA23" s="7" t="s">
        <v>706</v>
      </c>
      <c r="BB23" s="7" t="s">
        <v>707</v>
      </c>
      <c r="BC23" s="7" t="s">
        <v>708</v>
      </c>
      <c r="BD23" s="7" t="s">
        <v>709</v>
      </c>
    </row>
    <row r="24" spans="1:56" x14ac:dyDescent="0.25">
      <c r="A24" s="1" t="s">
        <v>17</v>
      </c>
      <c r="J24" t="str">
        <f t="shared" si="0"/>
        <v xml:space="preserve">         2.2        0.26      0.3757      0.1328      0.0917       0.000       0.027       0.028              </v>
      </c>
      <c r="S24">
        <v>2.2000000000000002</v>
      </c>
      <c r="T24">
        <v>0.26</v>
      </c>
      <c r="U24">
        <v>0.37569999999999998</v>
      </c>
      <c r="V24">
        <v>0.1328</v>
      </c>
      <c r="W24">
        <v>9.1700000000000004E-2</v>
      </c>
      <c r="X24">
        <v>0</v>
      </c>
      <c r="Y24">
        <v>2.7E-2</v>
      </c>
      <c r="Z24">
        <v>2.8000000000000001E-2</v>
      </c>
      <c r="AF24">
        <f t="shared" si="1"/>
        <v>1.4228571428571425E-2</v>
      </c>
      <c r="AG24">
        <f t="shared" si="2"/>
        <v>2.398929049531459E-3</v>
      </c>
      <c r="AJ24" s="22" t="s">
        <v>693</v>
      </c>
      <c r="AK24" s="10" t="s">
        <v>695</v>
      </c>
      <c r="AO24" s="11" t="str">
        <f>MID($AK24,FIND(AT24,$AK24)-5,5)</f>
        <v>.2165</v>
      </c>
      <c r="AP24" s="7" t="str">
        <f t="shared" ref="AP24:AR26" si="3">MID($AK24,FIND(AU24,$AK24)-5,5)</f>
        <v>.5405</v>
      </c>
      <c r="AQ24" s="7" t="str">
        <f t="shared" si="3"/>
        <v>.2834</v>
      </c>
      <c r="AR24" s="7" t="str">
        <f t="shared" si="3"/>
        <v>.0374</v>
      </c>
      <c r="AS24" s="7" t="str">
        <f>RIGHT(AK24,6)</f>
        <v>0.1329</v>
      </c>
      <c r="AT24" s="7" t="s">
        <v>710</v>
      </c>
      <c r="AU24" s="7" t="s">
        <v>711</v>
      </c>
      <c r="AV24" s="7" t="s">
        <v>712</v>
      </c>
      <c r="AW24" s="7" t="s">
        <v>728</v>
      </c>
      <c r="AX24" s="12"/>
      <c r="AZ24" s="7" t="str">
        <f>MID(AO24,FIND(".",AO24),10)</f>
        <v>.2165</v>
      </c>
      <c r="BA24" s="7" t="str">
        <f t="shared" ref="BA24:BC26" si="4">MID(AP24,FIND(".",AP24),10)</f>
        <v>.5405</v>
      </c>
      <c r="BB24" s="7" t="str">
        <f t="shared" si="4"/>
        <v>.2834</v>
      </c>
      <c r="BC24" s="7" t="str">
        <f t="shared" si="4"/>
        <v>.0374</v>
      </c>
      <c r="BD24" s="7" t="str">
        <f>AS24</f>
        <v>0.1329</v>
      </c>
    </row>
    <row r="25" spans="1:56" ht="17.25" x14ac:dyDescent="0.25">
      <c r="A25" s="1" t="s">
        <v>18</v>
      </c>
      <c r="J25" t="str">
        <f t="shared" si="0"/>
        <v xml:space="preserve">         2.6        0.30      0.4271      0.1327      0.0941       0.000       0.028       0.028              </v>
      </c>
      <c r="S25">
        <v>2.6</v>
      </c>
      <c r="T25">
        <v>0.3</v>
      </c>
      <c r="U25">
        <v>0.42709999999999998</v>
      </c>
      <c r="V25">
        <v>0.13270000000000001</v>
      </c>
      <c r="W25">
        <v>9.4100000000000003E-2</v>
      </c>
      <c r="X25">
        <v>0</v>
      </c>
      <c r="Y25">
        <v>2.8000000000000001E-2</v>
      </c>
      <c r="Z25">
        <v>2.8000000000000001E-2</v>
      </c>
      <c r="AF25">
        <f t="shared" si="1"/>
        <v>1.4744444444444442E-2</v>
      </c>
      <c r="AG25">
        <f t="shared" si="2"/>
        <v>2.4007368332914672E-3</v>
      </c>
      <c r="AJ25" s="23" t="s">
        <v>694</v>
      </c>
      <c r="AK25" s="12" t="s">
        <v>696</v>
      </c>
      <c r="AO25" s="11" t="str">
        <f>MID($AK25,FIND(AT25,$AK25)-5,5)</f>
        <v>.1206</v>
      </c>
      <c r="AP25" s="7" t="str">
        <f t="shared" si="3"/>
        <v>.3979</v>
      </c>
      <c r="AQ25" s="7" t="str">
        <f t="shared" si="3"/>
        <v>.2586</v>
      </c>
      <c r="AR25" s="7" t="str">
        <f t="shared" si="3"/>
        <v>0.003</v>
      </c>
      <c r="AS25" s="7" t="str">
        <f>RIGHT(AK25,6)</f>
        <v>0.0803</v>
      </c>
      <c r="AT25" s="7" t="s">
        <v>710</v>
      </c>
      <c r="AU25" s="7" t="s">
        <v>711</v>
      </c>
      <c r="AV25" s="7" t="s">
        <v>712</v>
      </c>
      <c r="AW25" s="7" t="s">
        <v>728</v>
      </c>
      <c r="AX25" s="12"/>
      <c r="AZ25" s="7" t="str">
        <f>MID(AO25,FIND(".",AO25),10)</f>
        <v>.1206</v>
      </c>
      <c r="BA25" s="7" t="str">
        <f t="shared" si="4"/>
        <v>.3979</v>
      </c>
      <c r="BB25" s="7" t="str">
        <f t="shared" si="4"/>
        <v>.2586</v>
      </c>
      <c r="BC25" s="7" t="str">
        <f t="shared" si="4"/>
        <v>.003</v>
      </c>
      <c r="BD25" s="7" t="str">
        <f>AS25</f>
        <v>0.0803</v>
      </c>
    </row>
    <row r="26" spans="1:56" ht="15.75" thickBot="1" x14ac:dyDescent="0.3">
      <c r="A26" s="1" t="s">
        <v>19</v>
      </c>
      <c r="J26" t="str">
        <f t="shared" si="0"/>
        <v xml:space="preserve">         2.9        0.35      0.4754      0.1326      0.0965       0.000       0.029       0.028              </v>
      </c>
      <c r="S26">
        <v>2.9</v>
      </c>
      <c r="T26">
        <v>0.35</v>
      </c>
      <c r="U26">
        <v>0.47539999999999999</v>
      </c>
      <c r="V26">
        <v>0.1326</v>
      </c>
      <c r="W26">
        <v>9.6500000000000002E-2</v>
      </c>
      <c r="X26">
        <v>0</v>
      </c>
      <c r="Y26">
        <v>2.9000000000000001E-2</v>
      </c>
      <c r="Z26">
        <v>2.8000000000000001E-2</v>
      </c>
      <c r="AF26">
        <f t="shared" si="1"/>
        <v>1.5259523809523808E-2</v>
      </c>
      <c r="AG26">
        <f t="shared" si="2"/>
        <v>2.4025473437238143E-3</v>
      </c>
      <c r="AJ26" s="24" t="s">
        <v>697</v>
      </c>
      <c r="AK26" s="15" t="s">
        <v>704</v>
      </c>
      <c r="AO26" s="13" t="str">
        <f>MID($AK26,FIND(AT26,$AK26)-5,5)</f>
        <v>0.027</v>
      </c>
      <c r="AP26" s="14" t="str">
        <f t="shared" si="3"/>
        <v xml:space="preserve"> 0.08</v>
      </c>
      <c r="AQ26" s="14" t="str">
        <f t="shared" si="3"/>
        <v>.0507</v>
      </c>
      <c r="AR26" s="14" t="str">
        <f t="shared" si="3"/>
        <v>.0004</v>
      </c>
      <c r="AS26" s="14" t="str">
        <f>RIGHT(AK26,6)</f>
        <v>0.0127</v>
      </c>
      <c r="AT26" s="14" t="s">
        <v>710</v>
      </c>
      <c r="AU26" s="14" t="s">
        <v>711</v>
      </c>
      <c r="AV26" s="14" t="s">
        <v>712</v>
      </c>
      <c r="AW26" s="14" t="s">
        <v>728</v>
      </c>
      <c r="AX26" s="15"/>
      <c r="AZ26" s="7" t="str">
        <f>MID(AO26,FIND(".",AO26),10)</f>
        <v>.027</v>
      </c>
      <c r="BA26" s="7" t="str">
        <f t="shared" si="4"/>
        <v>.08</v>
      </c>
      <c r="BB26" s="7" t="str">
        <f t="shared" si="4"/>
        <v>.0507</v>
      </c>
      <c r="BC26" s="7" t="str">
        <f t="shared" si="4"/>
        <v>.0004</v>
      </c>
      <c r="BD26" s="7" t="str">
        <f>AS26</f>
        <v>0.0127</v>
      </c>
    </row>
    <row r="27" spans="1:56" x14ac:dyDescent="0.25">
      <c r="A27" s="1" t="s">
        <v>20</v>
      </c>
      <c r="J27" t="str">
        <f t="shared" si="0"/>
        <v xml:space="preserve">         3.3        0.39      0.5206      0.1323      0.0989       0.000       0.030       0.028              </v>
      </c>
      <c r="S27">
        <v>3.3</v>
      </c>
      <c r="T27">
        <v>0.39</v>
      </c>
      <c r="U27">
        <v>0.52059999999999995</v>
      </c>
      <c r="V27">
        <v>0.1323</v>
      </c>
      <c r="W27">
        <v>9.8900000000000002E-2</v>
      </c>
      <c r="X27">
        <v>0</v>
      </c>
      <c r="Y27">
        <v>0.03</v>
      </c>
      <c r="Z27">
        <v>2.8000000000000001E-2</v>
      </c>
      <c r="AF27">
        <f t="shared" si="1"/>
        <v>1.5749999999999997E-2</v>
      </c>
      <c r="AG27">
        <f t="shared" si="2"/>
        <v>2.4079952968841857E-3</v>
      </c>
    </row>
    <row r="28" spans="1:56" x14ac:dyDescent="0.25">
      <c r="A28" s="1" t="s">
        <v>21</v>
      </c>
      <c r="J28" t="str">
        <f t="shared" si="0"/>
        <v xml:space="preserve">         3.7        0.43      0.5627      0.1318      0.1013       0.000       0.030       0.028              </v>
      </c>
      <c r="S28">
        <v>3.7</v>
      </c>
      <c r="T28">
        <v>0.43</v>
      </c>
      <c r="U28">
        <v>0.56269999999999998</v>
      </c>
      <c r="V28">
        <v>0.1318</v>
      </c>
      <c r="W28">
        <v>0.1013</v>
      </c>
      <c r="X28">
        <v>0</v>
      </c>
      <c r="Y28">
        <v>0.03</v>
      </c>
      <c r="Z28">
        <v>2.8000000000000001E-2</v>
      </c>
      <c r="AF28">
        <f t="shared" si="1"/>
        <v>1.5690476190476189E-2</v>
      </c>
      <c r="AG28">
        <f t="shared" si="2"/>
        <v>2.4171303321530932E-3</v>
      </c>
    </row>
    <row r="29" spans="1:56" x14ac:dyDescent="0.25">
      <c r="A29" s="1" t="s">
        <v>22</v>
      </c>
      <c r="J29" t="str">
        <f t="shared" si="0"/>
        <v xml:space="preserve">         4.1        0.48      0.6019      0.1309      0.1035       0.000       0.031       0.027              </v>
      </c>
      <c r="S29">
        <v>4.0999999999999996</v>
      </c>
      <c r="T29">
        <v>0.48</v>
      </c>
      <c r="U29">
        <v>0.60189999999999999</v>
      </c>
      <c r="V29">
        <v>0.13089999999999999</v>
      </c>
      <c r="W29">
        <v>0.10349999999999999</v>
      </c>
      <c r="X29">
        <v>0</v>
      </c>
      <c r="Y29">
        <v>3.1E-2</v>
      </c>
      <c r="Z29">
        <v>2.7E-2</v>
      </c>
      <c r="AF29">
        <f t="shared" si="1"/>
        <v>1.6699176954732508E-2</v>
      </c>
      <c r="AG29">
        <f t="shared" si="2"/>
        <v>2.3468296409472878E-3</v>
      </c>
      <c r="AL29" s="42"/>
      <c r="AM29" s="42"/>
      <c r="AN29" s="42"/>
      <c r="AO29" s="42"/>
      <c r="AP29" s="42"/>
      <c r="AQ29" s="42"/>
      <c r="AR29" s="42"/>
      <c r="AS29" s="42"/>
      <c r="AT29" s="42"/>
      <c r="AU29" s="42"/>
      <c r="AV29" s="42"/>
      <c r="AW29" s="42"/>
      <c r="AX29" s="42"/>
    </row>
    <row r="30" spans="1:56" x14ac:dyDescent="0.25">
      <c r="A30" s="1" t="s">
        <v>23</v>
      </c>
      <c r="J30" t="str">
        <f t="shared" si="0"/>
        <v xml:space="preserve">         4.4        0.52      0.6382      0.1294      0.1052       0.000       0.031       0.027              </v>
      </c>
      <c r="S30">
        <v>4.4000000000000004</v>
      </c>
      <c r="T30">
        <v>0.52</v>
      </c>
      <c r="U30">
        <v>0.63819999999999999</v>
      </c>
      <c r="V30">
        <v>0.12939999999999999</v>
      </c>
      <c r="W30">
        <v>0.1052</v>
      </c>
      <c r="X30">
        <v>0</v>
      </c>
      <c r="Y30">
        <v>3.1E-2</v>
      </c>
      <c r="Z30">
        <v>2.7E-2</v>
      </c>
      <c r="AF30">
        <f t="shared" si="1"/>
        <v>1.6507818930041152E-2</v>
      </c>
      <c r="AG30">
        <f t="shared" si="2"/>
        <v>2.3740340030911898E-3</v>
      </c>
      <c r="AL30" s="42"/>
      <c r="AM30" s="42"/>
      <c r="AN30" s="42"/>
      <c r="AO30" s="42"/>
      <c r="AP30" s="42"/>
      <c r="AQ30" s="42"/>
      <c r="AR30" s="42"/>
      <c r="AS30" s="42"/>
      <c r="AT30" s="42"/>
      <c r="AU30" s="42"/>
      <c r="AV30" s="42"/>
      <c r="AW30" s="42"/>
      <c r="AX30" s="42"/>
    </row>
    <row r="31" spans="1:56" x14ac:dyDescent="0.25">
      <c r="A31" s="1" t="s">
        <v>24</v>
      </c>
      <c r="J31" t="str">
        <f t="shared" si="0"/>
        <v xml:space="preserve">         4.8        0.56      0.6719      0.1266      0.1059       0.001       0.032       0.026              </v>
      </c>
      <c r="S31">
        <v>4.8</v>
      </c>
      <c r="T31">
        <v>0.56000000000000005</v>
      </c>
      <c r="U31">
        <v>0.67190000000000005</v>
      </c>
      <c r="V31">
        <v>0.12659999999999999</v>
      </c>
      <c r="W31">
        <v>0.10589999999999999</v>
      </c>
      <c r="X31">
        <v>1E-3</v>
      </c>
      <c r="Y31">
        <v>3.2000000000000001E-2</v>
      </c>
      <c r="Z31">
        <v>2.5999999999999999E-2</v>
      </c>
      <c r="AF31">
        <f t="shared" si="1"/>
        <v>1.7312820512820508E-2</v>
      </c>
      <c r="AG31">
        <f t="shared" si="2"/>
        <v>2.3366684219764786E-3</v>
      </c>
    </row>
    <row r="32" spans="1:56" ht="15.75" thickBot="1" x14ac:dyDescent="0.3">
      <c r="A32" s="1" t="s">
        <v>25</v>
      </c>
      <c r="J32" t="str">
        <f t="shared" si="0"/>
        <v xml:space="preserve">         5.2        0.61      0.7025      0.1226      0.1057       0.001       0.032       0.026              </v>
      </c>
      <c r="S32">
        <v>5.2</v>
      </c>
      <c r="T32">
        <v>0.61</v>
      </c>
      <c r="U32">
        <v>0.70250000000000001</v>
      </c>
      <c r="V32">
        <v>0.1226</v>
      </c>
      <c r="W32">
        <v>0.1057</v>
      </c>
      <c r="X32">
        <v>1E-3</v>
      </c>
      <c r="Y32">
        <v>3.2000000000000001E-2</v>
      </c>
      <c r="Z32">
        <v>2.5999999999999999E-2</v>
      </c>
      <c r="AF32">
        <f t="shared" si="1"/>
        <v>1.6765811965811967E-2</v>
      </c>
      <c r="AG32">
        <f t="shared" si="2"/>
        <v>2.4129055646184513E-3</v>
      </c>
      <c r="AL32" t="s">
        <v>716</v>
      </c>
      <c r="AS32" t="s">
        <v>729</v>
      </c>
      <c r="AV32">
        <v>1.355817948329</v>
      </c>
    </row>
    <row r="33" spans="1:46" ht="15.75" thickBot="1" x14ac:dyDescent="0.3">
      <c r="A33" s="1" t="s">
        <v>26</v>
      </c>
      <c r="J33" t="str">
        <f t="shared" si="0"/>
        <v xml:space="preserve">         5.5        0.65      0.7298      0.1176      0.1046       0.000       0.031       0.025              </v>
      </c>
      <c r="S33">
        <v>5.5</v>
      </c>
      <c r="T33">
        <v>0.65</v>
      </c>
      <c r="U33">
        <v>0.7298</v>
      </c>
      <c r="V33">
        <v>0.1176</v>
      </c>
      <c r="W33">
        <v>0.1046</v>
      </c>
      <c r="X33">
        <v>0</v>
      </c>
      <c r="Y33">
        <v>3.1E-2</v>
      </c>
      <c r="Z33">
        <v>2.5000000000000001E-2</v>
      </c>
      <c r="AF33">
        <f t="shared" si="1"/>
        <v>1.6202666666666667E-2</v>
      </c>
      <c r="AG33">
        <f t="shared" si="2"/>
        <v>2.4187452758881326E-3</v>
      </c>
      <c r="AO33" s="25" t="s">
        <v>717</v>
      </c>
      <c r="AP33" s="26" t="s">
        <v>719</v>
      </c>
      <c r="AQ33" s="26" t="s">
        <v>718</v>
      </c>
      <c r="AR33" s="26" t="s">
        <v>724</v>
      </c>
      <c r="AS33" s="27" t="s">
        <v>730</v>
      </c>
      <c r="AT33" s="28"/>
    </row>
    <row r="34" spans="1:46" ht="15.75" thickBot="1" x14ac:dyDescent="0.3">
      <c r="A34" s="1" t="s">
        <v>27</v>
      </c>
      <c r="J34" t="str">
        <f t="shared" si="0"/>
        <v xml:space="preserve">         5.9        0.69      0.7540      0.1118      0.1026       0.000       0.031       0.023              </v>
      </c>
      <c r="S34">
        <v>5.9</v>
      </c>
      <c r="T34">
        <v>0.69</v>
      </c>
      <c r="U34">
        <v>0.754</v>
      </c>
      <c r="V34">
        <v>0.1118</v>
      </c>
      <c r="W34">
        <v>0.1026</v>
      </c>
      <c r="X34">
        <v>0</v>
      </c>
      <c r="Y34">
        <v>3.1E-2</v>
      </c>
      <c r="Z34">
        <v>2.3E-2</v>
      </c>
      <c r="AF34">
        <f t="shared" si="1"/>
        <v>1.6742995169082123E-2</v>
      </c>
      <c r="AG34">
        <f t="shared" si="2"/>
        <v>2.340687736036573E-3</v>
      </c>
      <c r="AI34" t="s">
        <v>727</v>
      </c>
      <c r="AK34" t="s">
        <v>723</v>
      </c>
      <c r="AL34" s="8" t="s">
        <v>663</v>
      </c>
      <c r="AM34" s="10" t="s">
        <v>714</v>
      </c>
    </row>
    <row r="35" spans="1:46" x14ac:dyDescent="0.25">
      <c r="A35" s="1" t="s">
        <v>28</v>
      </c>
      <c r="J35" t="str">
        <f t="shared" si="0"/>
        <v xml:space="preserve">         6.3        0.74      0.7749      0.1049      0.0996       0.000       0.030       0.022              </v>
      </c>
      <c r="S35">
        <v>6.3</v>
      </c>
      <c r="T35">
        <v>0.74</v>
      </c>
      <c r="U35">
        <v>0.77490000000000003</v>
      </c>
      <c r="V35">
        <v>0.10489999999999999</v>
      </c>
      <c r="W35">
        <v>9.9599999999999994E-2</v>
      </c>
      <c r="X35">
        <v>0</v>
      </c>
      <c r="Y35">
        <v>0.03</v>
      </c>
      <c r="Z35">
        <v>2.1999999999999999E-2</v>
      </c>
      <c r="AF35">
        <f t="shared" si="1"/>
        <v>1.5893939393939394E-2</v>
      </c>
      <c r="AG35">
        <f t="shared" si="2"/>
        <v>2.3861879038237469E-3</v>
      </c>
      <c r="AI35" s="8"/>
      <c r="AJ35" s="16"/>
      <c r="AL35" s="11">
        <f>AM35/(($AJ$38*(1/60)*$AJ$36*(1/12)))</f>
        <v>6.2344139650872814E-2</v>
      </c>
      <c r="AM35" s="12">
        <v>5</v>
      </c>
      <c r="AO35" s="7">
        <f>($AZ$24*AL35^4-$BA$24*AL35^3+$BB$24*AL35^2-$BC$24*AL35+$BD$24)*$AJ$37*((($AJ$38)*(1/60))^2)*($AJ$36*(1/12))^4</f>
        <v>1.1390184448925553</v>
      </c>
      <c r="AP35" s="7">
        <f>($AZ$25*AL35^4-$BA$25*AL35^3+$BB$25*AL35^2+$BC$25*AL35+$BD$25)*$AJ$37*((($AJ$38)*(1/60))^3)*($AJ$36*(1/12))^5</f>
        <v>56.526435225358405</v>
      </c>
      <c r="AQ35" s="7">
        <f>($AZ$26*AL35^4-$BA$26*AL35^3+$BB$26*AL35^2-$BC$26*AL35+$BD$26)*$AJ$37*((($AJ$38)*(1/60))^2)*($AJ$36*(1/12))^5</f>
        <v>8.3471172885997244E-2</v>
      </c>
      <c r="AR35" s="7">
        <f>AQ35*12</f>
        <v>1.0016540746319669</v>
      </c>
      <c r="AS35" s="7">
        <f>AP35*$AV$32</f>
        <v>76.63955543359755</v>
      </c>
    </row>
    <row r="36" spans="1:46" x14ac:dyDescent="0.25">
      <c r="A36" s="1" t="s">
        <v>29</v>
      </c>
      <c r="J36" t="str">
        <f t="shared" si="0"/>
        <v xml:space="preserve">         6.6        0.78      0.7929      0.0970      0.0952       0.000       0.029       0.020              </v>
      </c>
      <c r="S36">
        <v>6.6</v>
      </c>
      <c r="T36">
        <v>0.78</v>
      </c>
      <c r="U36">
        <v>0.79290000000000005</v>
      </c>
      <c r="V36">
        <v>9.7000000000000003E-2</v>
      </c>
      <c r="W36">
        <v>9.5200000000000007E-2</v>
      </c>
      <c r="X36">
        <v>0</v>
      </c>
      <c r="Y36">
        <v>2.9000000000000001E-2</v>
      </c>
      <c r="Z36">
        <v>0.02</v>
      </c>
      <c r="AF36">
        <f t="shared" si="1"/>
        <v>1.5627777777777782E-2</v>
      </c>
      <c r="AG36">
        <f t="shared" si="2"/>
        <v>2.3459335624284074E-3</v>
      </c>
      <c r="AI36" s="11" t="s">
        <v>725</v>
      </c>
      <c r="AJ36" s="18">
        <v>9</v>
      </c>
      <c r="AK36" t="s">
        <v>701</v>
      </c>
      <c r="AL36" s="11">
        <f t="shared" ref="AL36:AL73" si="5">AM36/(($AJ$38*(1/60)*$AJ$36*(1/12)))</f>
        <v>9.3516209476309217E-2</v>
      </c>
      <c r="AM36" s="12">
        <f t="shared" ref="AM36:AM73" si="6">AM35+$AJ$39</f>
        <v>7.5</v>
      </c>
      <c r="AO36" s="7">
        <f t="shared" ref="AO36:AO73" si="7">($AZ$24*AL36^4-$BA$24*AL36^3+$BB$24*AL36^2-$BC$24*AL36+$BD$24)*$AJ$37*((($AJ$38)*(1/60))^2)*($AJ$36*(1/12))^4</f>
        <v>1.1382675942947191</v>
      </c>
      <c r="AP36" s="7">
        <f t="shared" ref="AP36:AP73" si="8">($AZ$25*AL36^4-$BA$25*AL36^3+$BB$25*AL36^2+$BC$25*AL36+$BD$25)*$AJ$37*((($AJ$38)*(1/60))^3)*($AJ$36*(1/12))^5</f>
        <v>57.310001916983104</v>
      </c>
      <c r="AQ36" s="7">
        <f t="shared" ref="AQ36:AQ73" si="9">($AZ$26*AL36^4-$BA$26*AL36^3+$BB$26*AL36^2-$BC$26*AL36+$BD$26)*$AJ$37*((($AJ$38)*(1/60))^2)*($AJ$36*(1/12))^5</f>
        <v>8.4701653282492323E-2</v>
      </c>
      <c r="AR36" s="7">
        <f t="shared" ref="AR36:AR73" si="10">AQ36*12</f>
        <v>1.0164198393899078</v>
      </c>
      <c r="AS36" s="7">
        <f t="shared" ref="AS36:AS73" si="11">AP36*$AV$32</f>
        <v>77.701929217815092</v>
      </c>
    </row>
    <row r="37" spans="1:46" x14ac:dyDescent="0.25">
      <c r="A37" s="1" t="s">
        <v>30</v>
      </c>
      <c r="J37" t="str">
        <f t="shared" si="0"/>
        <v xml:space="preserve">         7.0        0.82      0.8078      0.0890      0.0905       0.000       0.027       0.019              </v>
      </c>
      <c r="S37">
        <v>7</v>
      </c>
      <c r="T37">
        <v>0.82</v>
      </c>
      <c r="U37">
        <v>0.80779999999999996</v>
      </c>
      <c r="V37">
        <v>8.8999999999999996E-2</v>
      </c>
      <c r="W37">
        <v>9.0499999999999997E-2</v>
      </c>
      <c r="X37">
        <v>0</v>
      </c>
      <c r="Y37">
        <v>2.7E-2</v>
      </c>
      <c r="Z37">
        <v>1.9E-2</v>
      </c>
      <c r="AF37">
        <f t="shared" si="1"/>
        <v>1.4052631578947367E-2</v>
      </c>
      <c r="AG37">
        <f t="shared" si="2"/>
        <v>2.4289637952559298E-3</v>
      </c>
      <c r="AI37" s="11" t="s">
        <v>726</v>
      </c>
      <c r="AJ37" s="18">
        <f>AH18</f>
        <v>2.3932858848953178E-3</v>
      </c>
      <c r="AK37" s="19" t="s">
        <v>722</v>
      </c>
      <c r="AL37" s="11">
        <f t="shared" si="5"/>
        <v>0.12468827930174563</v>
      </c>
      <c r="AM37" s="12">
        <f t="shared" si="6"/>
        <v>10</v>
      </c>
      <c r="AO37" s="7">
        <f t="shared" si="7"/>
        <v>1.1399287376651159</v>
      </c>
      <c r="AP37" s="7">
        <f t="shared" si="8"/>
        <v>58.300615748657819</v>
      </c>
      <c r="AQ37" s="7">
        <f t="shared" si="9"/>
        <v>8.630696113543096E-2</v>
      </c>
      <c r="AR37" s="7">
        <f t="shared" si="10"/>
        <v>1.0356835336251715</v>
      </c>
      <c r="AS37" s="7">
        <f t="shared" si="11"/>
        <v>79.045021230662627</v>
      </c>
    </row>
    <row r="38" spans="1:46" x14ac:dyDescent="0.25">
      <c r="A38" s="1" t="s">
        <v>31</v>
      </c>
      <c r="J38" t="str">
        <f t="shared" si="0"/>
        <v xml:space="preserve">         7.4        0.86      0.8198      0.0808      0.0853       0.000       0.026       0.017              </v>
      </c>
      <c r="S38">
        <v>7.4</v>
      </c>
      <c r="T38">
        <v>0.86</v>
      </c>
      <c r="U38">
        <v>0.81979999999999997</v>
      </c>
      <c r="V38">
        <v>8.0799999999999997E-2</v>
      </c>
      <c r="W38">
        <v>8.5300000000000001E-2</v>
      </c>
      <c r="X38">
        <v>0</v>
      </c>
      <c r="Y38">
        <v>2.5999999999999999E-2</v>
      </c>
      <c r="Z38">
        <v>1.7000000000000001E-2</v>
      </c>
      <c r="AF38">
        <f t="shared" si="1"/>
        <v>1.3730718954248362E-2</v>
      </c>
      <c r="AG38">
        <f t="shared" si="2"/>
        <v>2.3938393839383937E-3</v>
      </c>
      <c r="AI38" s="11" t="s">
        <v>713</v>
      </c>
      <c r="AJ38" s="18">
        <v>6416</v>
      </c>
      <c r="AK38" t="s">
        <v>720</v>
      </c>
      <c r="AL38" s="11">
        <f t="shared" si="5"/>
        <v>0.15586034912718205</v>
      </c>
      <c r="AM38" s="12">
        <f t="shared" si="6"/>
        <v>12.5</v>
      </c>
      <c r="AO38" s="7">
        <f t="shared" si="7"/>
        <v>1.1432999901496343</v>
      </c>
      <c r="AP38" s="7">
        <f t="shared" si="8"/>
        <v>59.454700850365626</v>
      </c>
      <c r="AQ38" s="7">
        <f t="shared" si="9"/>
        <v>8.8206583145409925E-2</v>
      </c>
      <c r="AR38" s="7">
        <f t="shared" si="10"/>
        <v>1.0584789977449192</v>
      </c>
      <c r="AS38" s="7">
        <f t="shared" si="11"/>
        <v>80.609750525457173</v>
      </c>
    </row>
    <row r="39" spans="1:46" ht="15.75" thickBot="1" x14ac:dyDescent="0.3">
      <c r="A39" s="1" t="s">
        <v>32</v>
      </c>
      <c r="J39" t="str">
        <f t="shared" si="0"/>
        <v xml:space="preserve">         7.7        0.91      0.8294      0.0726      0.0795       0.000       0.024       0.015              </v>
      </c>
      <c r="S39">
        <v>7.7</v>
      </c>
      <c r="T39">
        <v>0.91</v>
      </c>
      <c r="U39">
        <v>0.82940000000000003</v>
      </c>
      <c r="V39">
        <v>7.2599999999999998E-2</v>
      </c>
      <c r="W39">
        <v>7.9500000000000001E-2</v>
      </c>
      <c r="X39">
        <v>0</v>
      </c>
      <c r="Y39">
        <v>2.4E-2</v>
      </c>
      <c r="Z39">
        <v>1.4999999999999999E-2</v>
      </c>
      <c r="AF39">
        <f t="shared" si="1"/>
        <v>1.290666666666667E-2</v>
      </c>
      <c r="AG39">
        <f t="shared" si="2"/>
        <v>2.3507805325987136E-3</v>
      </c>
      <c r="AI39" s="13" t="s">
        <v>715</v>
      </c>
      <c r="AJ39" s="17">
        <v>2.5</v>
      </c>
      <c r="AK39" t="s">
        <v>721</v>
      </c>
      <c r="AL39" s="11">
        <f t="shared" si="5"/>
        <v>0.18703241895261843</v>
      </c>
      <c r="AM39" s="12">
        <f t="shared" si="6"/>
        <v>15</v>
      </c>
      <c r="AO39" s="7">
        <f t="shared" si="7"/>
        <v>1.1477219481695442</v>
      </c>
      <c r="AP39" s="7">
        <f t="shared" si="8"/>
        <v>60.730579199633496</v>
      </c>
      <c r="AQ39" s="7">
        <f t="shared" si="9"/>
        <v>9.0323979434857218E-2</v>
      </c>
      <c r="AR39" s="7">
        <f t="shared" si="10"/>
        <v>1.0838877532182867</v>
      </c>
      <c r="AS39" s="7">
        <f t="shared" si="11"/>
        <v>82.339609291278933</v>
      </c>
    </row>
    <row r="40" spans="1:46" x14ac:dyDescent="0.25">
      <c r="A40" s="1" t="s">
        <v>33</v>
      </c>
      <c r="J40" t="str">
        <f t="shared" si="0"/>
        <v xml:space="preserve">         8.1        0.95      0.8374      0.0641      0.0729       0.000       0.022       0.013              </v>
      </c>
      <c r="S40">
        <v>8.1</v>
      </c>
      <c r="T40">
        <v>0.95</v>
      </c>
      <c r="U40">
        <v>0.83740000000000003</v>
      </c>
      <c r="V40">
        <v>6.4100000000000004E-2</v>
      </c>
      <c r="W40">
        <v>7.2900000000000006E-2</v>
      </c>
      <c r="X40">
        <v>0</v>
      </c>
      <c r="Y40">
        <v>2.1999999999999999E-2</v>
      </c>
      <c r="Z40">
        <v>1.2999999999999999E-2</v>
      </c>
      <c r="AF40">
        <f t="shared" si="1"/>
        <v>1.2052991452991452E-2</v>
      </c>
      <c r="AG40">
        <f t="shared" si="2"/>
        <v>2.3075056335586748E-3</v>
      </c>
      <c r="AL40" s="11">
        <f t="shared" si="5"/>
        <v>0.21820448877805484</v>
      </c>
      <c r="AM40" s="12">
        <f t="shared" si="6"/>
        <v>17.5</v>
      </c>
      <c r="AO40" s="7">
        <f t="shared" si="7"/>
        <v>1.1525776894214956</v>
      </c>
      <c r="AP40" s="7">
        <f t="shared" si="8"/>
        <v>62.088470621532231</v>
      </c>
      <c r="AQ40" s="7">
        <f t="shared" si="9"/>
        <v>9.2586583548032189E-2</v>
      </c>
      <c r="AR40" s="7">
        <f t="shared" si="10"/>
        <v>1.1110390025763863</v>
      </c>
      <c r="AS40" s="7">
        <f t="shared" si="11"/>
        <v>84.180662852971224</v>
      </c>
    </row>
    <row r="41" spans="1:46" x14ac:dyDescent="0.25">
      <c r="A41" s="1" t="s">
        <v>34</v>
      </c>
      <c r="J41" t="str">
        <f t="shared" si="0"/>
        <v xml:space="preserve">         8.5        0.99      0.8439      0.0555      0.0654       0.000       0.020       0.012              </v>
      </c>
      <c r="S41">
        <v>8.5</v>
      </c>
      <c r="T41">
        <v>0.99</v>
      </c>
      <c r="U41">
        <v>0.84389999999999998</v>
      </c>
      <c r="V41">
        <v>5.5500000000000001E-2</v>
      </c>
      <c r="W41">
        <v>6.54E-2</v>
      </c>
      <c r="X41">
        <v>0</v>
      </c>
      <c r="Y41">
        <v>0.02</v>
      </c>
      <c r="Z41">
        <v>1.2E-2</v>
      </c>
      <c r="AF41">
        <f t="shared" si="1"/>
        <v>1.0277777777777776E-2</v>
      </c>
      <c r="AG41">
        <f t="shared" si="2"/>
        <v>2.4600600600600598E-3</v>
      </c>
      <c r="AL41" s="11">
        <f t="shared" si="5"/>
        <v>0.24937655860349126</v>
      </c>
      <c r="AM41" s="12">
        <f t="shared" si="6"/>
        <v>20</v>
      </c>
      <c r="AO41" s="7">
        <f t="shared" si="7"/>
        <v>1.157292772877522</v>
      </c>
      <c r="AP41" s="7">
        <f t="shared" si="8"/>
        <v>63.490492788676427</v>
      </c>
      <c r="AQ41" s="7">
        <f t="shared" si="9"/>
        <v>9.4925802451025346E-2</v>
      </c>
      <c r="AR41" s="7">
        <f t="shared" si="10"/>
        <v>1.1391096294123042</v>
      </c>
      <c r="AS41" s="7">
        <f t="shared" si="11"/>
        <v>86.081549671140451</v>
      </c>
    </row>
    <row r="42" spans="1:46" x14ac:dyDescent="0.25">
      <c r="A42" s="1" t="s">
        <v>35</v>
      </c>
      <c r="J42" t="str">
        <f t="shared" si="0"/>
        <v xml:space="preserve">         8.8        1.04      0.8479      0.0466      0.0570       0.000       0.017       0.010              </v>
      </c>
      <c r="S42">
        <v>8.8000000000000007</v>
      </c>
      <c r="T42">
        <v>1.04</v>
      </c>
      <c r="U42">
        <v>0.84789999999999999</v>
      </c>
      <c r="V42">
        <v>4.6600000000000003E-2</v>
      </c>
      <c r="W42">
        <v>5.7000000000000002E-2</v>
      </c>
      <c r="X42">
        <v>0</v>
      </c>
      <c r="Y42">
        <v>1.7000000000000001E-2</v>
      </c>
      <c r="Z42">
        <v>0.01</v>
      </c>
      <c r="AF42">
        <f t="shared" si="1"/>
        <v>8.8022222222222234E-3</v>
      </c>
      <c r="AG42">
        <f t="shared" si="2"/>
        <v>2.4415832141154023E-3</v>
      </c>
      <c r="AL42" s="11">
        <f t="shared" si="5"/>
        <v>0.28054862842892769</v>
      </c>
      <c r="AM42" s="12">
        <f t="shared" si="6"/>
        <v>22.5</v>
      </c>
      <c r="AO42" s="7">
        <f t="shared" si="7"/>
        <v>1.1613352387850353</v>
      </c>
      <c r="AP42" s="7">
        <f t="shared" si="8"/>
        <v>64.900661221224553</v>
      </c>
      <c r="AQ42" s="7">
        <f t="shared" si="9"/>
        <v>9.7277016531758589E-2</v>
      </c>
      <c r="AR42" s="7">
        <f t="shared" si="10"/>
        <v>1.1673241983811031</v>
      </c>
      <c r="AS42" s="7">
        <f t="shared" si="11"/>
        <v>87.993481342156173</v>
      </c>
    </row>
    <row r="43" spans="1:46" x14ac:dyDescent="0.25">
      <c r="A43" s="1" t="s">
        <v>36</v>
      </c>
      <c r="J43" t="str">
        <f t="shared" si="0"/>
        <v xml:space="preserve">         9.2        1.08      0.8489      0.0375      0.0478       0.000       0.014       0.008              </v>
      </c>
      <c r="S43">
        <v>9.1999999999999993</v>
      </c>
      <c r="T43">
        <v>1.08</v>
      </c>
      <c r="U43">
        <v>0.84889999999999999</v>
      </c>
      <c r="V43">
        <v>3.7499999999999999E-2</v>
      </c>
      <c r="W43">
        <v>4.7800000000000002E-2</v>
      </c>
      <c r="X43">
        <v>0</v>
      </c>
      <c r="Y43">
        <v>1.4E-2</v>
      </c>
      <c r="Z43">
        <v>8.0000000000000002E-3</v>
      </c>
      <c r="AF43">
        <f t="shared" si="1"/>
        <v>7.2916666666666668E-3</v>
      </c>
      <c r="AG43">
        <f t="shared" si="2"/>
        <v>2.4272592592592588E-3</v>
      </c>
      <c r="AL43" s="11">
        <f t="shared" si="5"/>
        <v>0.3117206982543641</v>
      </c>
      <c r="AM43" s="12">
        <f t="shared" si="6"/>
        <v>25</v>
      </c>
      <c r="AO43" s="7">
        <f t="shared" si="7"/>
        <v>1.1642156086668307</v>
      </c>
      <c r="AP43" s="7">
        <f t="shared" si="8"/>
        <v>66.284889286878894</v>
      </c>
      <c r="AQ43" s="7">
        <f t="shared" si="9"/>
        <v>9.9579579599985008E-2</v>
      </c>
      <c r="AR43" s="7">
        <f t="shared" si="10"/>
        <v>1.1949549551998202</v>
      </c>
      <c r="AS43" s="7">
        <f t="shared" si="11"/>
        <v>89.870242598151052</v>
      </c>
    </row>
    <row r="44" spans="1:46" x14ac:dyDescent="0.25">
      <c r="A44" s="1" t="s">
        <v>37</v>
      </c>
      <c r="J44" t="str">
        <f t="shared" si="0"/>
        <v xml:space="preserve">         9.6        1.12      0.8407      0.0283      0.0378       0.000       0.011       0.006              </v>
      </c>
      <c r="S44">
        <v>9.6</v>
      </c>
      <c r="T44">
        <v>1.1200000000000001</v>
      </c>
      <c r="U44">
        <v>0.8407</v>
      </c>
      <c r="V44">
        <v>2.8299999999999999E-2</v>
      </c>
      <c r="W44">
        <v>3.78E-2</v>
      </c>
      <c r="X44">
        <v>0</v>
      </c>
      <c r="Y44">
        <v>1.0999999999999999E-2</v>
      </c>
      <c r="Z44">
        <v>6.0000000000000001E-3</v>
      </c>
      <c r="AF44">
        <f t="shared" si="1"/>
        <v>5.7648148148148146E-3</v>
      </c>
      <c r="AG44">
        <f t="shared" si="2"/>
        <v>2.4122497055359244E-3</v>
      </c>
      <c r="AL44" s="11">
        <f t="shared" si="5"/>
        <v>0.34289276807980051</v>
      </c>
      <c r="AM44" s="12">
        <f t="shared" si="6"/>
        <v>27.5</v>
      </c>
      <c r="AO44" s="7">
        <f t="shared" si="7"/>
        <v>1.165486885321084</v>
      </c>
      <c r="AP44" s="7">
        <f t="shared" si="8"/>
        <v>67.6109882008856</v>
      </c>
      <c r="AQ44" s="7">
        <f t="shared" si="9"/>
        <v>0.10177681888728898</v>
      </c>
      <c r="AR44" s="7">
        <f t="shared" si="10"/>
        <v>1.2213218266474679</v>
      </c>
      <c r="AS44" s="7">
        <f t="shared" si="11"/>
        <v>91.668191307020948</v>
      </c>
    </row>
    <row r="45" spans="1:46" x14ac:dyDescent="0.25">
      <c r="A45" s="1" t="s">
        <v>38</v>
      </c>
      <c r="J45" t="str">
        <f t="shared" si="0"/>
        <v xml:space="preserve">        10.0        1.17      0.8123      0.0190      0.0273       0.000       0.008       0.004              </v>
      </c>
      <c r="S45">
        <v>10</v>
      </c>
      <c r="T45">
        <v>1.17</v>
      </c>
      <c r="U45">
        <v>0.81230000000000002</v>
      </c>
      <c r="V45">
        <v>1.9E-2</v>
      </c>
      <c r="W45">
        <v>2.7300000000000001E-2</v>
      </c>
      <c r="X45">
        <v>0</v>
      </c>
      <c r="Y45">
        <v>8.0000000000000002E-3</v>
      </c>
      <c r="Z45">
        <v>4.0000000000000001E-3</v>
      </c>
      <c r="AF45">
        <f t="shared" si="1"/>
        <v>4.2222222222222218E-3</v>
      </c>
      <c r="AG45">
        <f t="shared" si="2"/>
        <v>2.3953216374269005E-3</v>
      </c>
      <c r="AL45" s="11">
        <f t="shared" si="5"/>
        <v>0.37406483790523687</v>
      </c>
      <c r="AM45" s="12">
        <f t="shared" si="6"/>
        <v>30</v>
      </c>
      <c r="AO45" s="7">
        <f t="shared" si="7"/>
        <v>1.1647445528213518</v>
      </c>
      <c r="AP45" s="7">
        <f t="shared" si="8"/>
        <v>68.848667026034576</v>
      </c>
      <c r="AQ45" s="7">
        <f t="shared" si="9"/>
        <v>0.10381603504708616</v>
      </c>
      <c r="AR45" s="7">
        <f t="shared" si="10"/>
        <v>1.2457924205650339</v>
      </c>
      <c r="AS45" s="7">
        <f t="shared" si="11"/>
        <v>93.34625847242468</v>
      </c>
    </row>
    <row r="46" spans="1:46" x14ac:dyDescent="0.25">
      <c r="A46" s="1" t="s">
        <v>39</v>
      </c>
      <c r="J46" t="str">
        <f t="shared" si="0"/>
        <v xml:space="preserve">        10.3        1.21      0.7192      0.0096      0.0162       0.000       0.005       0.002              </v>
      </c>
      <c r="S46">
        <v>10.3</v>
      </c>
      <c r="T46">
        <v>1.21</v>
      </c>
      <c r="U46">
        <v>0.71919999999999995</v>
      </c>
      <c r="V46">
        <v>9.5999999999999992E-3</v>
      </c>
      <c r="W46">
        <v>1.6199999999999999E-2</v>
      </c>
      <c r="X46">
        <v>0</v>
      </c>
      <c r="Y46">
        <v>5.0000000000000001E-3</v>
      </c>
      <c r="Z46">
        <v>2E-3</v>
      </c>
      <c r="AF46">
        <f t="shared" si="1"/>
        <v>2.6666666666666666E-3</v>
      </c>
      <c r="AG46">
        <f t="shared" si="2"/>
        <v>2.3703703703703699E-3</v>
      </c>
      <c r="AL46" s="11">
        <f t="shared" si="5"/>
        <v>0.40523690773067328</v>
      </c>
      <c r="AM46" s="12">
        <f t="shared" si="6"/>
        <v>32.5</v>
      </c>
      <c r="AO46" s="7">
        <f t="shared" si="7"/>
        <v>1.161626576516573</v>
      </c>
      <c r="AP46" s="7">
        <f t="shared" si="8"/>
        <v>69.969532672659696</v>
      </c>
      <c r="AQ46" s="7">
        <f t="shared" si="9"/>
        <v>0.10564850215462349</v>
      </c>
      <c r="AR46" s="7">
        <f t="shared" si="10"/>
        <v>1.2677820258554817</v>
      </c>
      <c r="AS46" s="7">
        <f t="shared" si="11"/>
        <v>94.865948233784408</v>
      </c>
    </row>
    <row r="47" spans="1:46" x14ac:dyDescent="0.25">
      <c r="A47" s="1" t="s">
        <v>40</v>
      </c>
      <c r="J47" t="str">
        <f t="shared" si="0"/>
        <v xml:space="preserve">        10.7        1.25      0.0013      0.0000      0.0048       0.000       0.001       0.000              </v>
      </c>
      <c r="S47">
        <v>10.7</v>
      </c>
      <c r="T47">
        <v>1.25</v>
      </c>
      <c r="U47">
        <v>1.2999999999999999E-3</v>
      </c>
      <c r="V47">
        <v>0</v>
      </c>
      <c r="W47">
        <v>4.7999999999999996E-3</v>
      </c>
      <c r="X47">
        <v>0</v>
      </c>
      <c r="Y47">
        <v>1E-3</v>
      </c>
      <c r="Z47">
        <v>0</v>
      </c>
      <c r="AL47" s="11">
        <f t="shared" si="5"/>
        <v>0.43640897755610969</v>
      </c>
      <c r="AM47" s="12">
        <f t="shared" si="6"/>
        <v>35</v>
      </c>
      <c r="AO47" s="7">
        <f t="shared" si="7"/>
        <v>1.1558134030310663</v>
      </c>
      <c r="AP47" s="7">
        <f t="shared" si="8"/>
        <v>70.947089898638524</v>
      </c>
      <c r="AQ47" s="7">
        <f t="shared" si="9"/>
        <v>0.1072294677069791</v>
      </c>
      <c r="AR47" s="7">
        <f t="shared" si="10"/>
        <v>1.2867536124837491</v>
      </c>
      <c r="AS47" s="7">
        <f t="shared" si="11"/>
        <v>96.19133786628521</v>
      </c>
    </row>
    <row r="48" spans="1:46" x14ac:dyDescent="0.25">
      <c r="A48" s="1" t="s">
        <v>1</v>
      </c>
      <c r="AL48" s="11">
        <f t="shared" si="5"/>
        <v>0.4675810473815461</v>
      </c>
      <c r="AM48" s="12">
        <f t="shared" si="6"/>
        <v>37.5</v>
      </c>
      <c r="AO48" s="7">
        <f t="shared" si="7"/>
        <v>1.1470279602645328</v>
      </c>
      <c r="AP48" s="7">
        <f t="shared" si="8"/>
        <v>71.756741309392538</v>
      </c>
      <c r="AQ48" s="7">
        <f t="shared" si="9"/>
        <v>0.10851815262306251</v>
      </c>
      <c r="AR48" s="7">
        <f t="shared" si="10"/>
        <v>1.3022178314767501</v>
      </c>
      <c r="AS48" s="7">
        <f t="shared" si="11"/>
        <v>97.289077780875402</v>
      </c>
    </row>
    <row r="49" spans="1:45" x14ac:dyDescent="0.25">
      <c r="A49" s="1" t="s">
        <v>1</v>
      </c>
      <c r="AL49" s="11">
        <f t="shared" si="5"/>
        <v>0.49875311720698251</v>
      </c>
      <c r="AM49" s="12">
        <f t="shared" si="6"/>
        <v>40</v>
      </c>
      <c r="AO49" s="7">
        <f t="shared" si="7"/>
        <v>1.1350356573920544</v>
      </c>
      <c r="AP49" s="7">
        <f t="shared" si="8"/>
        <v>72.375787357887077</v>
      </c>
      <c r="AQ49" s="7">
        <f t="shared" si="9"/>
        <v>0.10947775124361438</v>
      </c>
      <c r="AR49" s="7">
        <f t="shared" si="10"/>
        <v>1.3137330149233726</v>
      </c>
      <c r="AS49" s="7">
        <f t="shared" si="11"/>
        <v>98.128391524266434</v>
      </c>
    </row>
    <row r="50" spans="1:45" x14ac:dyDescent="0.25">
      <c r="A50" s="1" t="s">
        <v>1</v>
      </c>
      <c r="AL50" s="11">
        <f t="shared" si="5"/>
        <v>0.52992518703241898</v>
      </c>
      <c r="AM50" s="12">
        <f t="shared" si="6"/>
        <v>42.5</v>
      </c>
      <c r="AO50" s="7">
        <f t="shared" si="7"/>
        <v>1.1196443848640938</v>
      </c>
      <c r="AP50" s="7">
        <f t="shared" si="8"/>
        <v>72.783426344631224</v>
      </c>
      <c r="AQ50" s="7">
        <f t="shared" si="9"/>
        <v>0.11007543133120677</v>
      </c>
      <c r="AR50" s="7">
        <f t="shared" si="10"/>
        <v>1.3209051759744812</v>
      </c>
      <c r="AS50" s="7">
        <f t="shared" si="11"/>
        <v>98.681075778932794</v>
      </c>
    </row>
    <row r="51" spans="1:45" x14ac:dyDescent="0.25">
      <c r="A51" s="1" t="s">
        <v>41</v>
      </c>
      <c r="S51">
        <v>2000</v>
      </c>
      <c r="AC51" s="5" t="str">
        <f>CONCATENATE($V$16,$AC$13,S51)</f>
        <v>Ct@2000</v>
      </c>
      <c r="AD51" s="3" t="str">
        <f>CONCATENATE($W$16,$AC$13,S51)</f>
        <v>Cp@2000</v>
      </c>
      <c r="AE51" s="3" t="str">
        <f>CONCATENATE($AF$16,$AC$13,S51)</f>
        <v>Kq@2000</v>
      </c>
      <c r="AL51" s="11">
        <f t="shared" si="5"/>
        <v>0.56109725685785539</v>
      </c>
      <c r="AM51" s="12">
        <f t="shared" si="6"/>
        <v>45</v>
      </c>
      <c r="AO51" s="7">
        <f t="shared" si="7"/>
        <v>1.1007045144064955</v>
      </c>
      <c r="AP51" s="7">
        <f t="shared" si="8"/>
        <v>72.960754417677975</v>
      </c>
      <c r="AQ51" s="7">
        <f t="shared" si="9"/>
        <v>0.11028233407024292</v>
      </c>
      <c r="AR51" s="7">
        <f t="shared" si="10"/>
        <v>1.3233880088429151</v>
      </c>
      <c r="AS51" s="7">
        <f t="shared" si="11"/>
        <v>98.921500363112173</v>
      </c>
    </row>
    <row r="52" spans="1:45" x14ac:dyDescent="0.25">
      <c r="A52" s="1" t="s">
        <v>1</v>
      </c>
      <c r="AL52" s="11">
        <f t="shared" si="5"/>
        <v>0.5922693266832918</v>
      </c>
      <c r="AM52" s="12">
        <f t="shared" si="6"/>
        <v>47.5</v>
      </c>
      <c r="AO52" s="7">
        <f t="shared" si="7"/>
        <v>1.0781088990204857</v>
      </c>
      <c r="AP52" s="7">
        <f t="shared" si="8"/>
        <v>72.890765572624133</v>
      </c>
      <c r="AQ52" s="7">
        <f t="shared" si="9"/>
        <v>0.11007357406695732</v>
      </c>
      <c r="AR52" s="7">
        <f t="shared" si="10"/>
        <v>1.3208828888034878</v>
      </c>
      <c r="AS52" s="7">
        <f t="shared" si="11"/>
        <v>98.826608230805363</v>
      </c>
    </row>
    <row r="53" spans="1:45" x14ac:dyDescent="0.25">
      <c r="A53" s="1" t="s">
        <v>9</v>
      </c>
      <c r="J53" t="str">
        <f>A53</f>
        <v xml:space="preserve">         V          J           Pe         Ct          Cp          PWR         Torque      Thrust             </v>
      </c>
      <c r="S53" t="s">
        <v>662</v>
      </c>
      <c r="T53" t="s">
        <v>663</v>
      </c>
      <c r="U53" t="s">
        <v>664</v>
      </c>
      <c r="V53" t="s">
        <v>665</v>
      </c>
      <c r="W53" t="s">
        <v>666</v>
      </c>
      <c r="X53" t="s">
        <v>667</v>
      </c>
      <c r="Y53" t="s">
        <v>668</v>
      </c>
      <c r="Z53" t="s">
        <v>669</v>
      </c>
      <c r="AF53" t="s">
        <v>702</v>
      </c>
      <c r="AG53" t="s">
        <v>698</v>
      </c>
      <c r="AH53" t="s">
        <v>700</v>
      </c>
      <c r="AL53" s="11">
        <f t="shared" si="5"/>
        <v>0.62344139650872821</v>
      </c>
      <c r="AM53" s="12">
        <f t="shared" si="6"/>
        <v>50</v>
      </c>
      <c r="AO53" s="7">
        <f t="shared" si="7"/>
        <v>1.0517928729826698</v>
      </c>
      <c r="AP53" s="7">
        <f t="shared" si="8"/>
        <v>72.558351652610355</v>
      </c>
      <c r="AQ53" s="7">
        <f t="shared" si="9"/>
        <v>0.10942823934941587</v>
      </c>
      <c r="AR53" s="7">
        <f t="shared" si="10"/>
        <v>1.3131388721929904</v>
      </c>
      <c r="AS53" s="7">
        <f t="shared" si="11"/>
        <v>98.375915471776281</v>
      </c>
    </row>
    <row r="54" spans="1:45" x14ac:dyDescent="0.25">
      <c r="A54" s="1" t="s">
        <v>10</v>
      </c>
      <c r="J54" t="str">
        <f t="shared" ref="J54:J84" si="12">A54</f>
        <v xml:space="preserve">       (mph)     (Adv Ratio)                                       (Hp)        (In-Lbf)     (Lbf)             </v>
      </c>
      <c r="S54" t="s">
        <v>670</v>
      </c>
      <c r="T54" t="s">
        <v>671</v>
      </c>
      <c r="X54" t="s">
        <v>672</v>
      </c>
      <c r="Y54" t="s">
        <v>673</v>
      </c>
      <c r="Z54" t="s">
        <v>674</v>
      </c>
      <c r="AF54" t="s">
        <v>703</v>
      </c>
      <c r="AG54" t="s">
        <v>699</v>
      </c>
      <c r="AH54" t="s">
        <v>699</v>
      </c>
      <c r="AL54" s="11">
        <f t="shared" si="5"/>
        <v>0.65461346633416462</v>
      </c>
      <c r="AM54" s="12">
        <f t="shared" si="6"/>
        <v>52.5</v>
      </c>
      <c r="AO54" s="7">
        <f t="shared" si="7"/>
        <v>1.021734251845037</v>
      </c>
      <c r="AP54" s="7">
        <f t="shared" si="8"/>
        <v>71.950302348321074</v>
      </c>
      <c r="AQ54" s="7">
        <f t="shared" si="9"/>
        <v>0.10832939136751558</v>
      </c>
      <c r="AR54" s="7">
        <f t="shared" si="10"/>
        <v>1.2999526964101871</v>
      </c>
      <c r="AS54" s="7">
        <f t="shared" si="11"/>
        <v>97.551511311551906</v>
      </c>
    </row>
    <row r="55" spans="1:45" x14ac:dyDescent="0.25">
      <c r="A55" s="1" t="s">
        <v>42</v>
      </c>
      <c r="J55" t="str">
        <f t="shared" si="12"/>
        <v xml:space="preserve">         0.0        0.00      0.0000      0.1321      0.0794       0.003       0.095       0.110              </v>
      </c>
      <c r="S55">
        <v>0</v>
      </c>
      <c r="T55">
        <v>0</v>
      </c>
      <c r="U55">
        <v>0</v>
      </c>
      <c r="V55">
        <v>0.1321</v>
      </c>
      <c r="W55">
        <v>7.9399999999999998E-2</v>
      </c>
      <c r="X55">
        <v>3.0000000000000001E-3</v>
      </c>
      <c r="Y55">
        <v>9.5000000000000001E-2</v>
      </c>
      <c r="Z55">
        <v>0.11</v>
      </c>
      <c r="AF55">
        <f t="shared" ref="AF55:AF83" si="13">(Y55*(1/12))/(AG55*(($S$51*(1/60))^2)*($AJ$36*(1/12))^5)</f>
        <v>1.2676262626262624E-2</v>
      </c>
      <c r="AG55">
        <f t="shared" ref="AG55:AG83" si="14">Z55/(V55*(($S$51*(1/60))^2)*(($AJ$36*(1/12))^4))</f>
        <v>2.3685759946168723E-3</v>
      </c>
      <c r="AH55">
        <f>AVERAGE(AG55:AG83)</f>
        <v>2.3797247025762014E-3</v>
      </c>
      <c r="AL55" s="11">
        <f t="shared" si="5"/>
        <v>0.68578553615960103</v>
      </c>
      <c r="AM55" s="12">
        <f t="shared" si="6"/>
        <v>55</v>
      </c>
      <c r="AO55" s="7">
        <f t="shared" si="7"/>
        <v>0.98795333243495587</v>
      </c>
      <c r="AP55" s="7">
        <f t="shared" si="8"/>
        <v>71.055305197984623</v>
      </c>
      <c r="AQ55" s="7">
        <f t="shared" si="9"/>
        <v>0.10676406499298476</v>
      </c>
      <c r="AR55" s="7">
        <f t="shared" si="10"/>
        <v>1.2811687799158171</v>
      </c>
      <c r="AS55" s="7">
        <f t="shared" si="11"/>
        <v>96.338058111422441</v>
      </c>
    </row>
    <row r="56" spans="1:45" x14ac:dyDescent="0.25">
      <c r="A56" s="1" t="s">
        <v>43</v>
      </c>
      <c r="J56" t="str">
        <f t="shared" si="12"/>
        <v xml:space="preserve">         0.7        0.04      0.0704      0.1323      0.0812       0.003       0.097       0.111              </v>
      </c>
      <c r="S56">
        <v>0.7</v>
      </c>
      <c r="T56">
        <v>0.04</v>
      </c>
      <c r="U56">
        <v>7.0400000000000004E-2</v>
      </c>
      <c r="V56">
        <v>0.1323</v>
      </c>
      <c r="W56">
        <v>8.1199999999999994E-2</v>
      </c>
      <c r="X56">
        <v>3.0000000000000001E-3</v>
      </c>
      <c r="Y56">
        <v>9.7000000000000003E-2</v>
      </c>
      <c r="Z56">
        <v>0.111</v>
      </c>
      <c r="AF56">
        <f t="shared" si="13"/>
        <v>1.2845945945945944E-2</v>
      </c>
      <c r="AG56">
        <f t="shared" si="14"/>
        <v>2.3864953388762909E-3</v>
      </c>
      <c r="AL56" s="11">
        <f t="shared" si="5"/>
        <v>0.71695760598503733</v>
      </c>
      <c r="AM56" s="12">
        <f t="shared" si="6"/>
        <v>57.5</v>
      </c>
      <c r="AO56" s="7">
        <f t="shared" si="7"/>
        <v>0.95051289285517682</v>
      </c>
      <c r="AP56" s="7">
        <f t="shared" si="8"/>
        <v>69.863945587373138</v>
      </c>
      <c r="AQ56" s="7">
        <f t="shared" si="9"/>
        <v>0.10472326851938309</v>
      </c>
      <c r="AR56" s="7">
        <f t="shared" si="10"/>
        <v>1.2566792222325971</v>
      </c>
      <c r="AS56" s="7">
        <f t="shared" si="11"/>
        <v>94.72279136844115</v>
      </c>
    </row>
    <row r="57" spans="1:45" x14ac:dyDescent="0.25">
      <c r="A57" s="1" t="s">
        <v>44</v>
      </c>
      <c r="J57" t="str">
        <f t="shared" si="12"/>
        <v xml:space="preserve">         1.5        0.09      0.1378      0.1325      0.0831       0.003       0.100       0.111              </v>
      </c>
      <c r="S57">
        <v>1.5</v>
      </c>
      <c r="T57">
        <v>0.09</v>
      </c>
      <c r="U57">
        <v>0.13780000000000001</v>
      </c>
      <c r="V57">
        <v>0.13250000000000001</v>
      </c>
      <c r="W57">
        <v>8.3099999999999993E-2</v>
      </c>
      <c r="X57">
        <v>3.0000000000000001E-3</v>
      </c>
      <c r="Y57">
        <v>0.1</v>
      </c>
      <c r="Z57">
        <v>0.111</v>
      </c>
      <c r="AF57">
        <f t="shared" si="13"/>
        <v>1.3263263263263264E-2</v>
      </c>
      <c r="AG57">
        <f t="shared" si="14"/>
        <v>2.3828930817610056E-3</v>
      </c>
      <c r="AL57" s="11">
        <f t="shared" si="5"/>
        <v>0.74812967581047374</v>
      </c>
      <c r="AM57" s="12">
        <f t="shared" si="6"/>
        <v>60</v>
      </c>
      <c r="AO57" s="7">
        <f t="shared" si="7"/>
        <v>0.90951819248383203</v>
      </c>
      <c r="AP57" s="7">
        <f t="shared" si="8"/>
        <v>68.368706749802612</v>
      </c>
      <c r="AQ57" s="7">
        <f t="shared" si="9"/>
        <v>0.10220198366210136</v>
      </c>
      <c r="AR57" s="7">
        <f t="shared" si="10"/>
        <v>1.2264238039452162</v>
      </c>
      <c r="AS57" s="7">
        <f t="shared" si="11"/>
        <v>92.695519715424439</v>
      </c>
    </row>
    <row r="58" spans="1:45" x14ac:dyDescent="0.25">
      <c r="A58" s="1" t="s">
        <v>45</v>
      </c>
      <c r="J58" t="str">
        <f t="shared" si="12"/>
        <v xml:space="preserve">         2.2        0.13      0.2020      0.1327      0.0852       0.003       0.102       0.111              </v>
      </c>
      <c r="S58">
        <v>2.2000000000000002</v>
      </c>
      <c r="T58">
        <v>0.13</v>
      </c>
      <c r="U58">
        <v>0.20200000000000001</v>
      </c>
      <c r="V58">
        <v>0.13270000000000001</v>
      </c>
      <c r="W58">
        <v>8.5199999999999998E-2</v>
      </c>
      <c r="X58">
        <v>3.0000000000000001E-3</v>
      </c>
      <c r="Y58">
        <v>0.10199999999999999</v>
      </c>
      <c r="Z58">
        <v>0.111</v>
      </c>
      <c r="AF58">
        <f t="shared" si="13"/>
        <v>1.3548948948948949E-2</v>
      </c>
      <c r="AG58">
        <f t="shared" si="14"/>
        <v>2.3793016829942218E-3</v>
      </c>
      <c r="AL58" s="11">
        <f t="shared" si="5"/>
        <v>0.77930174563591015</v>
      </c>
      <c r="AM58" s="12">
        <f t="shared" si="6"/>
        <v>62.5</v>
      </c>
      <c r="AO58" s="7">
        <f t="shared" si="7"/>
        <v>0.86511697197443371</v>
      </c>
      <c r="AP58" s="7">
        <f t="shared" si="8"/>
        <v>66.563969766132843</v>
      </c>
      <c r="AQ58" s="7">
        <f t="shared" si="9"/>
        <v>9.9199165558361821E-2</v>
      </c>
      <c r="AR58" s="7">
        <f t="shared" si="10"/>
        <v>1.1903899867003418</v>
      </c>
      <c r="AS58" s="7">
        <f t="shared" si="11"/>
        <v>90.248624920951826</v>
      </c>
    </row>
    <row r="59" spans="1:45" x14ac:dyDescent="0.25">
      <c r="A59" s="1" t="s">
        <v>46</v>
      </c>
      <c r="J59" t="str">
        <f t="shared" si="12"/>
        <v xml:space="preserve">         2.9        0.17      0.2629      0.1328      0.0873       0.003       0.105       0.111              </v>
      </c>
      <c r="S59">
        <v>2.9</v>
      </c>
      <c r="T59">
        <v>0.17</v>
      </c>
      <c r="U59">
        <v>0.26290000000000002</v>
      </c>
      <c r="V59">
        <v>0.1328</v>
      </c>
      <c r="W59">
        <v>8.7300000000000003E-2</v>
      </c>
      <c r="X59">
        <v>3.0000000000000001E-3</v>
      </c>
      <c r="Y59">
        <v>0.105</v>
      </c>
      <c r="Z59">
        <v>0.111</v>
      </c>
      <c r="AF59">
        <f t="shared" si="13"/>
        <v>1.3957957957957954E-2</v>
      </c>
      <c r="AG59">
        <f t="shared" si="14"/>
        <v>2.3775100401606424E-3</v>
      </c>
      <c r="AL59" s="11">
        <f t="shared" si="5"/>
        <v>0.81047381546134656</v>
      </c>
      <c r="AM59" s="12">
        <f t="shared" si="6"/>
        <v>65</v>
      </c>
      <c r="AO59" s="7">
        <f t="shared" si="7"/>
        <v>0.81749945325587681</v>
      </c>
      <c r="AP59" s="7">
        <f t="shared" si="8"/>
        <v>64.446013564767497</v>
      </c>
      <c r="AQ59" s="7">
        <f t="shared" si="9"/>
        <v>9.5717742767217812E-2</v>
      </c>
      <c r="AR59" s="7">
        <f t="shared" si="10"/>
        <v>1.1486129132066139</v>
      </c>
      <c r="AS59" s="7">
        <f t="shared" si="11"/>
        <v>87.377061889365976</v>
      </c>
    </row>
    <row r="60" spans="1:45" x14ac:dyDescent="0.25">
      <c r="A60" s="1" t="s">
        <v>47</v>
      </c>
      <c r="J60" t="str">
        <f t="shared" si="12"/>
        <v xml:space="preserve">         3.7        0.22      0.3208      0.1329      0.0895       0.003       0.107       0.111              </v>
      </c>
      <c r="S60">
        <v>3.7</v>
      </c>
      <c r="T60">
        <v>0.22</v>
      </c>
      <c r="U60">
        <v>0.32079999999999997</v>
      </c>
      <c r="V60">
        <v>0.13289999999999999</v>
      </c>
      <c r="W60">
        <v>8.9499999999999996E-2</v>
      </c>
      <c r="X60">
        <v>3.0000000000000001E-3</v>
      </c>
      <c r="Y60">
        <v>0.107</v>
      </c>
      <c r="Z60">
        <v>0.111</v>
      </c>
      <c r="AF60">
        <f t="shared" si="13"/>
        <v>1.4234534534534535E-2</v>
      </c>
      <c r="AG60">
        <f t="shared" si="14"/>
        <v>2.3757210935540503E-3</v>
      </c>
      <c r="AL60" s="11">
        <f t="shared" si="5"/>
        <v>0.84164588528678297</v>
      </c>
      <c r="AM60" s="12">
        <f t="shared" si="6"/>
        <v>67.5</v>
      </c>
      <c r="AO60" s="7">
        <f t="shared" si="7"/>
        <v>0.76689833953243558</v>
      </c>
      <c r="AP60" s="7">
        <f t="shared" si="8"/>
        <v>62.013014921654012</v>
      </c>
      <c r="AQ60" s="7">
        <f t="shared" si="9"/>
        <v>9.1764617269554039E-2</v>
      </c>
      <c r="AR60" s="7">
        <f t="shared" si="10"/>
        <v>1.1011754072346485</v>
      </c>
      <c r="AS60" s="7">
        <f t="shared" si="11"/>
        <v>84.078358660772608</v>
      </c>
    </row>
    <row r="61" spans="1:45" x14ac:dyDescent="0.25">
      <c r="A61" s="1" t="s">
        <v>48</v>
      </c>
      <c r="J61" t="str">
        <f t="shared" si="12"/>
        <v xml:space="preserve">         4.4        0.26      0.3754      0.1329      0.0918       0.003       0.110       0.111              </v>
      </c>
      <c r="S61">
        <v>4.4000000000000004</v>
      </c>
      <c r="T61">
        <v>0.26</v>
      </c>
      <c r="U61">
        <v>0.37540000000000001</v>
      </c>
      <c r="V61">
        <v>0.13289999999999999</v>
      </c>
      <c r="W61">
        <v>9.1800000000000007E-2</v>
      </c>
      <c r="X61">
        <v>3.0000000000000001E-3</v>
      </c>
      <c r="Y61">
        <v>0.11</v>
      </c>
      <c r="Z61">
        <v>0.111</v>
      </c>
      <c r="AF61">
        <f t="shared" si="13"/>
        <v>1.4633633633633633E-2</v>
      </c>
      <c r="AG61">
        <f t="shared" si="14"/>
        <v>2.3757210935540503E-3</v>
      </c>
      <c r="AL61" s="11">
        <f t="shared" si="5"/>
        <v>0.87281795511221938</v>
      </c>
      <c r="AM61" s="12">
        <f t="shared" si="6"/>
        <v>70</v>
      </c>
      <c r="AO61" s="7">
        <f t="shared" si="7"/>
        <v>0.71358881528376739</v>
      </c>
      <c r="AP61" s="7">
        <f t="shared" si="8"/>
        <v>59.265048460283765</v>
      </c>
      <c r="AQ61" s="7">
        <f t="shared" si="9"/>
        <v>8.7350664468086453E-2</v>
      </c>
      <c r="AR61" s="7">
        <f t="shared" si="10"/>
        <v>1.0482079736170373</v>
      </c>
      <c r="AS61" s="7">
        <f t="shared" si="11"/>
        <v>80.3526164110407</v>
      </c>
    </row>
    <row r="62" spans="1:45" x14ac:dyDescent="0.25">
      <c r="A62" s="1" t="s">
        <v>49</v>
      </c>
      <c r="J62" t="str">
        <f t="shared" si="12"/>
        <v xml:space="preserve">         5.2        0.30      0.4268      0.1328      0.0942       0.004       0.113       0.111              </v>
      </c>
      <c r="S62">
        <v>5.2</v>
      </c>
      <c r="T62">
        <v>0.3</v>
      </c>
      <c r="U62">
        <v>0.42680000000000001</v>
      </c>
      <c r="V62">
        <v>0.1328</v>
      </c>
      <c r="W62">
        <v>9.4200000000000006E-2</v>
      </c>
      <c r="X62">
        <v>4.0000000000000001E-3</v>
      </c>
      <c r="Y62">
        <v>0.113</v>
      </c>
      <c r="Z62">
        <v>0.111</v>
      </c>
      <c r="AF62">
        <f t="shared" si="13"/>
        <v>1.502142142142142E-2</v>
      </c>
      <c r="AG62">
        <f t="shared" si="14"/>
        <v>2.3775100401606424E-3</v>
      </c>
      <c r="AL62" s="11">
        <f t="shared" si="5"/>
        <v>0.90399002493765579</v>
      </c>
      <c r="AM62" s="12">
        <f t="shared" si="6"/>
        <v>72.5</v>
      </c>
      <c r="AO62" s="7">
        <f t="shared" si="7"/>
        <v>0.65788854626491022</v>
      </c>
      <c r="AP62" s="7">
        <f t="shared" si="8"/>
        <v>56.204086651691888</v>
      </c>
      <c r="AQ62" s="7">
        <f t="shared" si="9"/>
        <v>8.2490733187362386E-2</v>
      </c>
      <c r="AR62" s="7">
        <f t="shared" si="10"/>
        <v>0.98988879824834863</v>
      </c>
      <c r="AS62" s="7">
        <f t="shared" si="11"/>
        <v>76.202509451802229</v>
      </c>
    </row>
    <row r="63" spans="1:45" x14ac:dyDescent="0.25">
      <c r="A63" s="1" t="s">
        <v>50</v>
      </c>
      <c r="J63" t="str">
        <f t="shared" si="12"/>
        <v xml:space="preserve">         5.9        0.35      0.4750      0.1327      0.0966       0.004       0.116       0.111              </v>
      </c>
      <c r="S63">
        <v>5.9</v>
      </c>
      <c r="T63">
        <v>0.35</v>
      </c>
      <c r="U63">
        <v>0.47499999999999998</v>
      </c>
      <c r="V63">
        <v>0.13270000000000001</v>
      </c>
      <c r="W63">
        <v>9.6600000000000005E-2</v>
      </c>
      <c r="X63">
        <v>4.0000000000000001E-3</v>
      </c>
      <c r="Y63">
        <v>0.11600000000000001</v>
      </c>
      <c r="Z63">
        <v>0.111</v>
      </c>
      <c r="AF63">
        <f t="shared" si="13"/>
        <v>1.540860860860861E-2</v>
      </c>
      <c r="AG63">
        <f t="shared" si="14"/>
        <v>2.3793016829942218E-3</v>
      </c>
      <c r="AL63" s="11">
        <f t="shared" si="5"/>
        <v>0.9351620947630922</v>
      </c>
      <c r="AM63" s="12">
        <f t="shared" si="6"/>
        <v>75</v>
      </c>
      <c r="AO63" s="7">
        <f t="shared" si="7"/>
        <v>0.60015767950628163</v>
      </c>
      <c r="AP63" s="7">
        <f t="shared" si="8"/>
        <v>52.833999814457314</v>
      </c>
      <c r="AQ63" s="7">
        <f t="shared" si="9"/>
        <v>7.7203645673760077E-2</v>
      </c>
      <c r="AR63" s="7">
        <f t="shared" si="10"/>
        <v>0.92644374808512087</v>
      </c>
      <c r="AS63" s="7">
        <f t="shared" si="11"/>
        <v>71.633285230452287</v>
      </c>
    </row>
    <row r="64" spans="1:45" x14ac:dyDescent="0.25">
      <c r="A64" s="1" t="s">
        <v>51</v>
      </c>
      <c r="J64" t="str">
        <f t="shared" si="12"/>
        <v xml:space="preserve">         6.6        0.39      0.5202      0.1324      0.0990       0.004       0.119       0.111              </v>
      </c>
      <c r="S64">
        <v>6.6</v>
      </c>
      <c r="T64">
        <v>0.39</v>
      </c>
      <c r="U64">
        <v>0.5202</v>
      </c>
      <c r="V64">
        <v>0.13239999999999999</v>
      </c>
      <c r="W64">
        <v>9.9000000000000005E-2</v>
      </c>
      <c r="X64">
        <v>4.0000000000000001E-3</v>
      </c>
      <c r="Y64">
        <v>0.11899999999999999</v>
      </c>
      <c r="Z64">
        <v>0.111</v>
      </c>
      <c r="AF64">
        <f t="shared" si="13"/>
        <v>1.5771371371371367E-2</v>
      </c>
      <c r="AG64">
        <f t="shared" si="14"/>
        <v>2.3846928499496474E-3</v>
      </c>
      <c r="AL64" s="11">
        <f t="shared" si="5"/>
        <v>0.96633416458852861</v>
      </c>
      <c r="AM64" s="12">
        <f t="shared" si="6"/>
        <v>77.5</v>
      </c>
      <c r="AO64" s="7">
        <f t="shared" si="7"/>
        <v>0.540798843313683</v>
      </c>
      <c r="AP64" s="7">
        <f t="shared" si="8"/>
        <v>49.160556114702928</v>
      </c>
      <c r="AQ64" s="7">
        <f t="shared" si="9"/>
        <v>7.1512197595489491E-2</v>
      </c>
      <c r="AR64" s="7">
        <f t="shared" si="10"/>
        <v>0.85814637114587389</v>
      </c>
      <c r="AS64" s="7">
        <f t="shared" si="11"/>
        <v>66.652764330149196</v>
      </c>
    </row>
    <row r="65" spans="1:49" x14ac:dyDescent="0.25">
      <c r="A65" s="1" t="s">
        <v>52</v>
      </c>
      <c r="J65" t="str">
        <f t="shared" si="12"/>
        <v xml:space="preserve">         7.4        0.43      0.5624      0.1319      0.1014       0.004       0.121       0.110              </v>
      </c>
      <c r="S65">
        <v>7.4</v>
      </c>
      <c r="T65">
        <v>0.43</v>
      </c>
      <c r="U65">
        <v>0.56240000000000001</v>
      </c>
      <c r="V65">
        <v>0.13189999999999999</v>
      </c>
      <c r="W65">
        <v>0.1014</v>
      </c>
      <c r="X65">
        <v>4.0000000000000001E-3</v>
      </c>
      <c r="Y65">
        <v>0.121</v>
      </c>
      <c r="Z65">
        <v>0.11</v>
      </c>
      <c r="AF65">
        <f t="shared" si="13"/>
        <v>1.6121111111111114E-2</v>
      </c>
      <c r="AG65">
        <f t="shared" si="14"/>
        <v>2.3721674669362307E-3</v>
      </c>
      <c r="AL65" s="11">
        <f t="shared" si="5"/>
        <v>0.99750623441396502</v>
      </c>
      <c r="AM65" s="12">
        <f t="shared" si="6"/>
        <v>80</v>
      </c>
      <c r="AO65" s="7">
        <f t="shared" si="7"/>
        <v>0.48025714726829555</v>
      </c>
      <c r="AP65" s="7">
        <f t="shared" si="8"/>
        <v>45.191421566095393</v>
      </c>
      <c r="AQ65" s="7">
        <f t="shared" si="9"/>
        <v>6.5443158042591751E-2</v>
      </c>
      <c r="AR65" s="7">
        <f t="shared" si="10"/>
        <v>0.78531789651110095</v>
      </c>
      <c r="AS65" s="7">
        <f t="shared" si="11"/>
        <v>61.271340469814383</v>
      </c>
      <c r="AU65">
        <v>162</v>
      </c>
      <c r="AV65">
        <f>AS65/AU65</f>
        <v>0.37821815104823692</v>
      </c>
      <c r="AW65">
        <f>AV65*100</f>
        <v>37.821815104823692</v>
      </c>
    </row>
    <row r="66" spans="1:49" x14ac:dyDescent="0.25">
      <c r="A66" s="1" t="s">
        <v>53</v>
      </c>
      <c r="J66" t="str">
        <f t="shared" si="12"/>
        <v xml:space="preserve">         8.1        0.48      0.6016      0.1310      0.1036       0.004       0.124       0.110              </v>
      </c>
      <c r="S66">
        <v>8.1</v>
      </c>
      <c r="T66">
        <v>0.48</v>
      </c>
      <c r="U66">
        <v>0.60160000000000002</v>
      </c>
      <c r="V66">
        <v>0.13100000000000001</v>
      </c>
      <c r="W66">
        <v>0.1036</v>
      </c>
      <c r="X66">
        <v>4.0000000000000001E-3</v>
      </c>
      <c r="Y66">
        <v>0.124</v>
      </c>
      <c r="Z66">
        <v>0.11</v>
      </c>
      <c r="AF66">
        <f t="shared" si="13"/>
        <v>1.6408080808080813E-2</v>
      </c>
      <c r="AG66">
        <f t="shared" si="14"/>
        <v>2.3884648006785403E-3</v>
      </c>
      <c r="AL66" s="11">
        <f t="shared" si="5"/>
        <v>1.0286783042394014</v>
      </c>
      <c r="AM66" s="12">
        <f t="shared" si="6"/>
        <v>82.5</v>
      </c>
      <c r="AO66" s="7">
        <f t="shared" si="7"/>
        <v>0.41902018222668291</v>
      </c>
      <c r="AP66" s="7">
        <f t="shared" si="8"/>
        <v>40.936160029845141</v>
      </c>
      <c r="AQ66" s="7">
        <f t="shared" si="9"/>
        <v>5.902726952693884E-2</v>
      </c>
      <c r="AR66" s="7">
        <f t="shared" si="10"/>
        <v>0.70832723432326605</v>
      </c>
      <c r="AS66" s="7">
        <f t="shared" si="11"/>
        <v>55.501980504132256</v>
      </c>
    </row>
    <row r="67" spans="1:49" x14ac:dyDescent="0.25">
      <c r="A67" s="1" t="s">
        <v>54</v>
      </c>
      <c r="J67" t="str">
        <f t="shared" si="12"/>
        <v xml:space="preserve">         8.8        0.52      0.6379      0.1295      0.1053       0.004       0.126       0.108              </v>
      </c>
      <c r="S67">
        <v>8.8000000000000007</v>
      </c>
      <c r="T67">
        <v>0.52</v>
      </c>
      <c r="U67">
        <v>0.63790000000000002</v>
      </c>
      <c r="V67">
        <v>0.1295</v>
      </c>
      <c r="W67">
        <v>0.1053</v>
      </c>
      <c r="X67">
        <v>4.0000000000000001E-3</v>
      </c>
      <c r="Y67">
        <v>0.126</v>
      </c>
      <c r="Z67">
        <v>0.108</v>
      </c>
      <c r="AF67">
        <f t="shared" si="13"/>
        <v>1.6787037037037038E-2</v>
      </c>
      <c r="AG67">
        <f t="shared" si="14"/>
        <v>2.3722007722007717E-3</v>
      </c>
      <c r="AL67" s="11">
        <f t="shared" si="5"/>
        <v>1.059850374064838</v>
      </c>
      <c r="AM67" s="12">
        <f t="shared" si="6"/>
        <v>85</v>
      </c>
      <c r="AO67" s="7">
        <f t="shared" si="7"/>
        <v>0.35761802032078627</v>
      </c>
      <c r="AP67" s="7">
        <f t="shared" si="8"/>
        <v>36.406233214706511</v>
      </c>
      <c r="AQ67" s="7">
        <f t="shared" si="9"/>
        <v>5.2299247982234572E-2</v>
      </c>
      <c r="AR67" s="7">
        <f t="shared" si="10"/>
        <v>0.62759097578681489</v>
      </c>
      <c r="AS67" s="7">
        <f t="shared" si="11"/>
        <v>49.360224423550477</v>
      </c>
    </row>
    <row r="68" spans="1:49" x14ac:dyDescent="0.25">
      <c r="A68" s="1" t="s">
        <v>55</v>
      </c>
      <c r="J68" t="str">
        <f t="shared" si="12"/>
        <v xml:space="preserve">         9.6        0.56      0.6716      0.1267      0.1060       0.004       0.127       0.106              </v>
      </c>
      <c r="S68">
        <v>9.6</v>
      </c>
      <c r="T68">
        <v>0.56000000000000005</v>
      </c>
      <c r="U68">
        <v>0.67159999999999997</v>
      </c>
      <c r="V68">
        <v>0.12670000000000001</v>
      </c>
      <c r="W68">
        <v>0.106</v>
      </c>
      <c r="X68">
        <v>4.0000000000000001E-3</v>
      </c>
      <c r="Y68">
        <v>0.127</v>
      </c>
      <c r="Z68">
        <v>0.106</v>
      </c>
      <c r="AF68">
        <f t="shared" si="13"/>
        <v>1.6866771488469604E-2</v>
      </c>
      <c r="AG68">
        <f t="shared" si="14"/>
        <v>2.3797246338682796E-3</v>
      </c>
      <c r="AL68" s="11">
        <f t="shared" si="5"/>
        <v>1.0910224438902743</v>
      </c>
      <c r="AM68" s="12">
        <f t="shared" si="6"/>
        <v>87.5</v>
      </c>
      <c r="AO68" s="7">
        <f t="shared" si="7"/>
        <v>0.29662321495793426</v>
      </c>
      <c r="AP68" s="7">
        <f t="shared" si="8"/>
        <v>31.615000676977733</v>
      </c>
      <c r="AQ68" s="7">
        <f t="shared" si="9"/>
        <v>4.5297782764013764E-2</v>
      </c>
      <c r="AR68" s="7">
        <f t="shared" si="10"/>
        <v>0.54357339316816522</v>
      </c>
      <c r="AS68" s="7">
        <f t="shared" si="11"/>
        <v>42.864185354279897</v>
      </c>
    </row>
    <row r="69" spans="1:49" x14ac:dyDescent="0.25">
      <c r="A69" s="1" t="s">
        <v>56</v>
      </c>
      <c r="J69" t="str">
        <f t="shared" si="12"/>
        <v xml:space="preserve">        10.3        0.61      0.7022      0.1228      0.1058       0.004       0.127       0.103              </v>
      </c>
      <c r="S69">
        <v>10.3</v>
      </c>
      <c r="T69">
        <v>0.61</v>
      </c>
      <c r="U69">
        <v>0.70220000000000005</v>
      </c>
      <c r="V69">
        <v>0.12280000000000001</v>
      </c>
      <c r="W69">
        <v>0.10580000000000001</v>
      </c>
      <c r="X69">
        <v>4.0000000000000001E-3</v>
      </c>
      <c r="Y69">
        <v>0.127</v>
      </c>
      <c r="Z69">
        <v>0.10299999999999999</v>
      </c>
      <c r="AF69">
        <f t="shared" si="13"/>
        <v>1.6823732470334418E-2</v>
      </c>
      <c r="AG69">
        <f t="shared" si="14"/>
        <v>2.3858125226203391E-3</v>
      </c>
      <c r="AL69" s="11">
        <f t="shared" si="5"/>
        <v>1.1221945137157108</v>
      </c>
      <c r="AM69" s="12">
        <f t="shared" si="6"/>
        <v>90</v>
      </c>
      <c r="AO69" s="7">
        <f t="shared" si="7"/>
        <v>0.23665080082082976</v>
      </c>
      <c r="AP69" s="7">
        <f t="shared" si="8"/>
        <v>26.577719820500683</v>
      </c>
      <c r="AQ69" s="7">
        <f t="shared" si="9"/>
        <v>3.8065536649642365E-2</v>
      </c>
      <c r="AR69" s="7">
        <f t="shared" si="10"/>
        <v>0.45678643979570838</v>
      </c>
      <c r="AS69" s="7">
        <f t="shared" si="11"/>
        <v>36.034549558294238</v>
      </c>
    </row>
    <row r="70" spans="1:49" x14ac:dyDescent="0.25">
      <c r="A70" s="1" t="s">
        <v>57</v>
      </c>
      <c r="J70" t="str">
        <f t="shared" si="12"/>
        <v xml:space="preserve">        11.1        0.65      0.7296      0.1178      0.1047       0.004       0.125       0.098              </v>
      </c>
      <c r="S70">
        <v>11.1</v>
      </c>
      <c r="T70">
        <v>0.65</v>
      </c>
      <c r="U70">
        <v>0.72960000000000003</v>
      </c>
      <c r="V70">
        <v>0.1178</v>
      </c>
      <c r="W70">
        <v>0.1047</v>
      </c>
      <c r="X70">
        <v>4.0000000000000001E-3</v>
      </c>
      <c r="Y70">
        <v>0.125</v>
      </c>
      <c r="Z70">
        <v>9.8000000000000004E-2</v>
      </c>
      <c r="AF70">
        <f t="shared" si="13"/>
        <v>1.6695011337868479E-2</v>
      </c>
      <c r="AG70">
        <f t="shared" si="14"/>
        <v>2.3663459724580266E-3</v>
      </c>
      <c r="AL70" s="11">
        <f t="shared" si="5"/>
        <v>1.1533665835411471</v>
      </c>
      <c r="AM70" s="12">
        <f t="shared" si="6"/>
        <v>92.5</v>
      </c>
      <c r="AO70" s="7">
        <f t="shared" si="7"/>
        <v>0.17835829386756349</v>
      </c>
      <c r="AP70" s="7">
        <f t="shared" si="8"/>
        <v>21.3115458966614</v>
      </c>
      <c r="AQ70" s="7">
        <f t="shared" si="9"/>
        <v>3.0649145838318174E-2</v>
      </c>
      <c r="AR70" s="7">
        <f t="shared" si="10"/>
        <v>0.36778975005981807</v>
      </c>
      <c r="AS70" s="7">
        <f t="shared" si="11"/>
        <v>28.89457643333078</v>
      </c>
    </row>
    <row r="71" spans="1:49" x14ac:dyDescent="0.25">
      <c r="A71" s="1" t="s">
        <v>58</v>
      </c>
      <c r="J71" t="str">
        <f t="shared" si="12"/>
        <v xml:space="preserve">        11.8        0.69      0.7537      0.1119      0.1027       0.004       0.123       0.094              </v>
      </c>
      <c r="S71">
        <v>11.8</v>
      </c>
      <c r="T71">
        <v>0.69</v>
      </c>
      <c r="U71">
        <v>0.75370000000000004</v>
      </c>
      <c r="V71">
        <v>0.1119</v>
      </c>
      <c r="W71">
        <v>0.1027</v>
      </c>
      <c r="X71">
        <v>4.0000000000000001E-3</v>
      </c>
      <c r="Y71">
        <v>0.123</v>
      </c>
      <c r="Z71">
        <v>9.4E-2</v>
      </c>
      <c r="AF71">
        <f t="shared" si="13"/>
        <v>1.6269148936170211E-2</v>
      </c>
      <c r="AG71">
        <f t="shared" si="14"/>
        <v>2.3894350114189254E-3</v>
      </c>
      <c r="AL71" s="11">
        <f t="shared" si="5"/>
        <v>1.1845386533665836</v>
      </c>
      <c r="AM71" s="12">
        <f t="shared" si="6"/>
        <v>95</v>
      </c>
      <c r="AO71" s="7">
        <f t="shared" si="7"/>
        <v>0.12244569133160209</v>
      </c>
      <c r="AP71" s="7">
        <f t="shared" si="8"/>
        <v>15.835532004389329</v>
      </c>
      <c r="AQ71" s="7">
        <f t="shared" si="9"/>
        <v>2.3099219951069134E-2</v>
      </c>
      <c r="AR71" s="7">
        <f t="shared" si="10"/>
        <v>0.27719063941282962</v>
      </c>
      <c r="AS71" s="7">
        <f t="shared" si="11"/>
        <v>21.470098512889358</v>
      </c>
    </row>
    <row r="72" spans="1:49" x14ac:dyDescent="0.25">
      <c r="A72" s="1" t="s">
        <v>59</v>
      </c>
      <c r="J72" t="str">
        <f t="shared" si="12"/>
        <v xml:space="preserve">        12.5        0.73      0.7747      0.1051      0.0997       0.004       0.119       0.088              </v>
      </c>
      <c r="S72">
        <v>12.5</v>
      </c>
      <c r="T72">
        <v>0.73</v>
      </c>
      <c r="U72">
        <v>0.77470000000000006</v>
      </c>
      <c r="V72">
        <v>0.1051</v>
      </c>
      <c r="W72">
        <v>9.9699999999999997E-2</v>
      </c>
      <c r="X72">
        <v>4.0000000000000001E-3</v>
      </c>
      <c r="Y72">
        <v>0.11899999999999999</v>
      </c>
      <c r="Z72">
        <v>8.7999999999999995E-2</v>
      </c>
      <c r="AF72">
        <f t="shared" si="13"/>
        <v>1.5791540404040402E-2</v>
      </c>
      <c r="AG72">
        <f t="shared" si="14"/>
        <v>2.3816471085738446E-3</v>
      </c>
      <c r="AL72" s="11">
        <f t="shared" si="5"/>
        <v>1.2157107231920199</v>
      </c>
      <c r="AM72" s="12">
        <f t="shared" si="6"/>
        <v>97.5</v>
      </c>
      <c r="AO72" s="7">
        <f t="shared" si="7"/>
        <v>6.9655471721795217E-2</v>
      </c>
      <c r="AP72" s="7">
        <f t="shared" si="8"/>
        <v>10.170629090158048</v>
      </c>
      <c r="AQ72" s="7">
        <f t="shared" si="9"/>
        <v>1.5470342030755818E-2</v>
      </c>
      <c r="AR72" s="7">
        <f t="shared" si="10"/>
        <v>0.18564410436906981</v>
      </c>
      <c r="AS72" s="7">
        <f t="shared" si="11"/>
        <v>13.78952146623333</v>
      </c>
    </row>
    <row r="73" spans="1:49" ht="15.75" thickBot="1" x14ac:dyDescent="0.3">
      <c r="A73" s="1" t="s">
        <v>60</v>
      </c>
      <c r="J73" t="str">
        <f t="shared" si="12"/>
        <v xml:space="preserve">        13.3        0.78      0.7928      0.0972      0.0954       0.004       0.114       0.081              </v>
      </c>
      <c r="S73">
        <v>13.3</v>
      </c>
      <c r="T73">
        <v>0.78</v>
      </c>
      <c r="U73">
        <v>0.79279999999999995</v>
      </c>
      <c r="V73">
        <v>9.7199999999999995E-2</v>
      </c>
      <c r="W73">
        <v>9.5399999999999999E-2</v>
      </c>
      <c r="X73">
        <v>4.0000000000000001E-3</v>
      </c>
      <c r="Y73">
        <v>0.114</v>
      </c>
      <c r="Z73">
        <v>8.1000000000000003E-2</v>
      </c>
      <c r="AF73">
        <f t="shared" si="13"/>
        <v>1.52E-2</v>
      </c>
      <c r="AG73">
        <f t="shared" si="14"/>
        <v>2.3703703703703699E-3</v>
      </c>
      <c r="AL73" s="11">
        <f t="shared" si="5"/>
        <v>1.2468827930174564</v>
      </c>
      <c r="AM73" s="15">
        <f t="shared" si="6"/>
        <v>100</v>
      </c>
      <c r="AO73" s="7">
        <f t="shared" si="7"/>
        <v>2.0772594822376891E-2</v>
      </c>
      <c r="AP73" s="7">
        <f t="shared" si="8"/>
        <v>4.3396859479848979</v>
      </c>
      <c r="AQ73" s="7">
        <f t="shared" si="9"/>
        <v>7.8210685420689596E-3</v>
      </c>
      <c r="AR73" s="7">
        <f t="shared" si="10"/>
        <v>9.3852822504827516E-2</v>
      </c>
      <c r="AS73" s="7">
        <f t="shared" si="11"/>
        <v>5.8838240983890762</v>
      </c>
    </row>
    <row r="74" spans="1:49" x14ac:dyDescent="0.25">
      <c r="A74" s="1" t="s">
        <v>61</v>
      </c>
      <c r="J74" t="str">
        <f t="shared" si="12"/>
        <v xml:space="preserve">        14.0        0.82      0.8077      0.0892      0.0907       0.003       0.109       0.075              </v>
      </c>
      <c r="S74">
        <v>14</v>
      </c>
      <c r="T74">
        <v>0.82</v>
      </c>
      <c r="U74">
        <v>0.80769999999999997</v>
      </c>
      <c r="V74">
        <v>8.9200000000000002E-2</v>
      </c>
      <c r="W74">
        <v>9.0700000000000003E-2</v>
      </c>
      <c r="X74">
        <v>3.0000000000000001E-3</v>
      </c>
      <c r="Y74">
        <v>0.109</v>
      </c>
      <c r="Z74">
        <v>7.4999999999999997E-2</v>
      </c>
      <c r="AF74">
        <f t="shared" si="13"/>
        <v>1.4404148148148147E-2</v>
      </c>
      <c r="AG74">
        <f t="shared" si="14"/>
        <v>2.3916292974588932E-3</v>
      </c>
    </row>
    <row r="75" spans="1:49" x14ac:dyDescent="0.25">
      <c r="A75" s="1" t="s">
        <v>62</v>
      </c>
      <c r="J75" t="str">
        <f t="shared" si="12"/>
        <v xml:space="preserve">        14.7        0.86      0.8198      0.0810      0.0855       0.003       0.102       0.068              </v>
      </c>
      <c r="S75">
        <v>14.7</v>
      </c>
      <c r="T75">
        <v>0.86</v>
      </c>
      <c r="U75">
        <v>0.81979999999999997</v>
      </c>
      <c r="V75">
        <v>8.1000000000000003E-2</v>
      </c>
      <c r="W75">
        <v>8.5500000000000007E-2</v>
      </c>
      <c r="X75">
        <v>3.0000000000000001E-3</v>
      </c>
      <c r="Y75">
        <v>0.10199999999999999</v>
      </c>
      <c r="Z75">
        <v>6.8000000000000005E-2</v>
      </c>
      <c r="AF75">
        <f t="shared" si="13"/>
        <v>1.3499999999999995E-2</v>
      </c>
      <c r="AG75">
        <f t="shared" si="14"/>
        <v>2.3879286694101507E-3</v>
      </c>
    </row>
    <row r="76" spans="1:49" x14ac:dyDescent="0.25">
      <c r="A76" s="1" t="s">
        <v>63</v>
      </c>
      <c r="J76" t="str">
        <f t="shared" si="12"/>
        <v xml:space="preserve">        15.5        0.91      0.8294      0.0728      0.0796       0.003       0.095       0.061              </v>
      </c>
      <c r="S76">
        <v>15.5</v>
      </c>
      <c r="T76">
        <v>0.91</v>
      </c>
      <c r="U76">
        <v>0.82940000000000003</v>
      </c>
      <c r="V76">
        <v>7.2800000000000004E-2</v>
      </c>
      <c r="W76">
        <v>7.9600000000000004E-2</v>
      </c>
      <c r="X76">
        <v>3.0000000000000001E-3</v>
      </c>
      <c r="Y76">
        <v>9.5000000000000001E-2</v>
      </c>
      <c r="Z76">
        <v>6.0999999999999999E-2</v>
      </c>
      <c r="AF76">
        <f t="shared" si="13"/>
        <v>1.2597449908925317E-2</v>
      </c>
      <c r="AG76">
        <f t="shared" si="14"/>
        <v>2.3833943833943827E-3</v>
      </c>
    </row>
    <row r="77" spans="1:49" x14ac:dyDescent="0.25">
      <c r="A77" s="1" t="s">
        <v>64</v>
      </c>
      <c r="J77" t="str">
        <f t="shared" si="12"/>
        <v xml:space="preserve">        16.2        0.95      0.8374      0.0643      0.0730       0.003       0.087       0.054              </v>
      </c>
      <c r="S77">
        <v>16.2</v>
      </c>
      <c r="T77">
        <v>0.95</v>
      </c>
      <c r="U77">
        <v>0.83740000000000003</v>
      </c>
      <c r="V77">
        <v>6.4299999999999996E-2</v>
      </c>
      <c r="W77">
        <v>7.2999999999999995E-2</v>
      </c>
      <c r="X77">
        <v>3.0000000000000001E-3</v>
      </c>
      <c r="Y77">
        <v>8.6999999999999994E-2</v>
      </c>
      <c r="Z77">
        <v>5.3999999999999999E-2</v>
      </c>
      <c r="AF77">
        <f t="shared" si="13"/>
        <v>1.1510493827160493E-2</v>
      </c>
      <c r="AG77">
        <f t="shared" si="14"/>
        <v>2.3888024883359248E-3</v>
      </c>
    </row>
    <row r="78" spans="1:49" x14ac:dyDescent="0.25">
      <c r="A78" s="1" t="s">
        <v>65</v>
      </c>
      <c r="J78" t="str">
        <f t="shared" si="12"/>
        <v xml:space="preserve">        16.9        0.99      0.8439      0.0557      0.0656       0.002       0.079       0.047              </v>
      </c>
      <c r="S78">
        <v>16.899999999999999</v>
      </c>
      <c r="T78">
        <v>0.99</v>
      </c>
      <c r="U78">
        <v>0.84389999999999998</v>
      </c>
      <c r="V78">
        <v>5.57E-2</v>
      </c>
      <c r="W78">
        <v>6.5600000000000006E-2</v>
      </c>
      <c r="X78">
        <v>2E-3</v>
      </c>
      <c r="Y78">
        <v>7.9000000000000001E-2</v>
      </c>
      <c r="Z78">
        <v>4.7E-2</v>
      </c>
      <c r="AF78">
        <f t="shared" si="13"/>
        <v>1.040260047281324E-2</v>
      </c>
      <c r="AG78">
        <f t="shared" si="14"/>
        <v>2.4001595850787947E-3</v>
      </c>
    </row>
    <row r="79" spans="1:49" x14ac:dyDescent="0.25">
      <c r="A79" s="1" t="s">
        <v>66</v>
      </c>
      <c r="J79" t="str">
        <f t="shared" si="12"/>
        <v xml:space="preserve">        17.7        1.04      0.8479      0.0468      0.0572       0.002       0.069       0.039              </v>
      </c>
      <c r="S79">
        <v>17.7</v>
      </c>
      <c r="T79">
        <v>1.04</v>
      </c>
      <c r="U79">
        <v>0.84789999999999999</v>
      </c>
      <c r="V79">
        <v>4.6800000000000001E-2</v>
      </c>
      <c r="W79">
        <v>5.7200000000000001E-2</v>
      </c>
      <c r="X79">
        <v>2E-3</v>
      </c>
      <c r="Y79">
        <v>6.9000000000000006E-2</v>
      </c>
      <c r="Z79">
        <v>3.9E-2</v>
      </c>
      <c r="AF79">
        <f t="shared" si="13"/>
        <v>9.1999999999999998E-3</v>
      </c>
      <c r="AG79">
        <f t="shared" si="14"/>
        <v>2.3703703703703699E-3</v>
      </c>
    </row>
    <row r="80" spans="1:49" x14ac:dyDescent="0.25">
      <c r="A80" s="1" t="s">
        <v>67</v>
      </c>
      <c r="J80" t="str">
        <f t="shared" si="12"/>
        <v xml:space="preserve">        18.4        1.08      0.8490      0.0377      0.0479       0.002       0.057       0.031              </v>
      </c>
      <c r="S80">
        <v>18.399999999999999</v>
      </c>
      <c r="T80">
        <v>1.08</v>
      </c>
      <c r="U80">
        <v>0.84899999999999998</v>
      </c>
      <c r="V80">
        <v>3.7699999999999997E-2</v>
      </c>
      <c r="W80">
        <v>4.7899999999999998E-2</v>
      </c>
      <c r="X80">
        <v>2E-3</v>
      </c>
      <c r="Y80">
        <v>5.7000000000000002E-2</v>
      </c>
      <c r="Z80">
        <v>3.1E-2</v>
      </c>
      <c r="AF80">
        <f t="shared" si="13"/>
        <v>7.702150537634408E-3</v>
      </c>
      <c r="AG80">
        <f t="shared" si="14"/>
        <v>2.3389330975537867E-3</v>
      </c>
    </row>
    <row r="81" spans="1:33" x14ac:dyDescent="0.25">
      <c r="A81" s="1" t="s">
        <v>68</v>
      </c>
      <c r="J81" t="str">
        <f t="shared" si="12"/>
        <v xml:space="preserve">        19.2        1.12      0.8409      0.0284      0.0380       0.001       0.045       0.024              </v>
      </c>
      <c r="S81">
        <v>19.2</v>
      </c>
      <c r="T81">
        <v>1.1200000000000001</v>
      </c>
      <c r="U81">
        <v>0.84089999999999998</v>
      </c>
      <c r="V81">
        <v>2.8400000000000002E-2</v>
      </c>
      <c r="W81">
        <v>3.7999999999999999E-2</v>
      </c>
      <c r="X81">
        <v>1E-3</v>
      </c>
      <c r="Y81">
        <v>4.4999999999999998E-2</v>
      </c>
      <c r="Z81">
        <v>2.4E-2</v>
      </c>
      <c r="AF81">
        <f t="shared" si="13"/>
        <v>5.9166666666666682E-3</v>
      </c>
      <c r="AG81">
        <f t="shared" si="14"/>
        <v>2.4037558685446E-3</v>
      </c>
    </row>
    <row r="82" spans="1:33" x14ac:dyDescent="0.25">
      <c r="A82" s="1" t="s">
        <v>69</v>
      </c>
      <c r="J82" t="str">
        <f t="shared" si="12"/>
        <v xml:space="preserve">        19.9        1.17      0.8123      0.0191      0.0274       0.001       0.033       0.016              </v>
      </c>
      <c r="S82">
        <v>19.899999999999999</v>
      </c>
      <c r="T82">
        <v>1.17</v>
      </c>
      <c r="U82">
        <v>0.81230000000000002</v>
      </c>
      <c r="V82">
        <v>1.9099999999999999E-2</v>
      </c>
      <c r="W82">
        <v>2.7400000000000001E-2</v>
      </c>
      <c r="X82">
        <v>1E-3</v>
      </c>
      <c r="Y82">
        <v>3.3000000000000002E-2</v>
      </c>
      <c r="Z82">
        <v>1.6E-2</v>
      </c>
      <c r="AF82">
        <f t="shared" si="13"/>
        <v>4.3770833333333327E-3</v>
      </c>
      <c r="AG82">
        <f t="shared" si="14"/>
        <v>2.3827806864456075E-3</v>
      </c>
    </row>
    <row r="83" spans="1:33" x14ac:dyDescent="0.25">
      <c r="A83" s="1" t="s">
        <v>70</v>
      </c>
      <c r="J83" t="str">
        <f t="shared" si="12"/>
        <v xml:space="preserve">        20.6        1.21      0.7182      0.0096      0.0161       0.001       0.019       0.008              </v>
      </c>
      <c r="S83">
        <v>20.6</v>
      </c>
      <c r="T83">
        <v>1.21</v>
      </c>
      <c r="U83">
        <v>0.71819999999999995</v>
      </c>
      <c r="V83">
        <v>9.5999999999999992E-3</v>
      </c>
      <c r="W83">
        <v>1.61E-2</v>
      </c>
      <c r="X83">
        <v>1E-3</v>
      </c>
      <c r="Y83">
        <v>1.9E-2</v>
      </c>
      <c r="Z83">
        <v>8.0000000000000002E-3</v>
      </c>
      <c r="AF83">
        <f t="shared" si="13"/>
        <v>2.5333333333333332E-3</v>
      </c>
      <c r="AG83">
        <f t="shared" si="14"/>
        <v>2.3703703703703699E-3</v>
      </c>
    </row>
    <row r="84" spans="1:33" x14ac:dyDescent="0.25">
      <c r="A84" s="1" t="s">
        <v>71</v>
      </c>
      <c r="J84" t="str">
        <f t="shared" si="12"/>
        <v xml:space="preserve">        21.4        1.25     -0.0012      0.0000      0.0048       0.000       0.006       0.000              </v>
      </c>
      <c r="S84">
        <v>21.4</v>
      </c>
      <c r="T84">
        <v>1.25</v>
      </c>
      <c r="U84">
        <v>-1.1999999999999999E-3</v>
      </c>
      <c r="V84">
        <v>0</v>
      </c>
      <c r="W84">
        <v>4.7999999999999996E-3</v>
      </c>
      <c r="X84">
        <v>0</v>
      </c>
      <c r="Y84">
        <v>6.0000000000000001E-3</v>
      </c>
      <c r="Z84">
        <v>0</v>
      </c>
    </row>
    <row r="85" spans="1:33" x14ac:dyDescent="0.25">
      <c r="A85" s="1" t="s">
        <v>1</v>
      </c>
    </row>
    <row r="86" spans="1:33" x14ac:dyDescent="0.25">
      <c r="A86" s="1" t="s">
        <v>1</v>
      </c>
    </row>
    <row r="87" spans="1:33" x14ac:dyDescent="0.25">
      <c r="A87" s="1" t="s">
        <v>1</v>
      </c>
    </row>
    <row r="88" spans="1:33" x14ac:dyDescent="0.25">
      <c r="A88" s="1" t="s">
        <v>72</v>
      </c>
      <c r="S88">
        <v>3000</v>
      </c>
      <c r="AC88" t="str">
        <f>CONCATENATE($V$16,$AC$13,S88)</f>
        <v>Ct@3000</v>
      </c>
      <c r="AD88" s="3" t="str">
        <f>CONCATENATE($W$16,$AC$13,S88)</f>
        <v>Cp@3000</v>
      </c>
    </row>
    <row r="89" spans="1:33" x14ac:dyDescent="0.25">
      <c r="A89" s="1" t="s">
        <v>1</v>
      </c>
    </row>
    <row r="90" spans="1:33" x14ac:dyDescent="0.25">
      <c r="A90" s="1" t="s">
        <v>9</v>
      </c>
      <c r="J90" t="str">
        <f>A90</f>
        <v xml:space="preserve">         V          J           Pe         Ct          Cp          PWR         Torque      Thrust             </v>
      </c>
      <c r="S90" t="s">
        <v>662</v>
      </c>
      <c r="T90" t="s">
        <v>663</v>
      </c>
      <c r="U90" t="s">
        <v>664</v>
      </c>
      <c r="V90" t="s">
        <v>665</v>
      </c>
      <c r="W90" t="s">
        <v>666</v>
      </c>
      <c r="X90" t="s">
        <v>667</v>
      </c>
      <c r="Y90" t="s">
        <v>668</v>
      </c>
      <c r="Z90" t="s">
        <v>669</v>
      </c>
    </row>
    <row r="91" spans="1:33" x14ac:dyDescent="0.25">
      <c r="A91" s="1" t="s">
        <v>10</v>
      </c>
      <c r="J91" t="str">
        <f t="shared" ref="J91:J121" si="15">A91</f>
        <v xml:space="preserve">       (mph)     (Adv Ratio)                                       (Hp)        (In-Lbf)     (Lbf)             </v>
      </c>
      <c r="S91" t="s">
        <v>670</v>
      </c>
      <c r="T91" t="s">
        <v>671</v>
      </c>
      <c r="X91" t="s">
        <v>672</v>
      </c>
      <c r="Y91" t="s">
        <v>673</v>
      </c>
      <c r="Z91" t="s">
        <v>674</v>
      </c>
    </row>
    <row r="92" spans="1:33" x14ac:dyDescent="0.25">
      <c r="A92" s="1" t="s">
        <v>73</v>
      </c>
      <c r="J92" t="str">
        <f t="shared" si="15"/>
        <v xml:space="preserve">         0.0        0.00      0.0000      0.1321      0.0792       0.010       0.213       0.248              </v>
      </c>
      <c r="S92">
        <v>0</v>
      </c>
      <c r="T92">
        <v>0</v>
      </c>
      <c r="U92">
        <v>0</v>
      </c>
      <c r="V92">
        <v>0.1321</v>
      </c>
      <c r="W92">
        <v>7.9200000000000007E-2</v>
      </c>
      <c r="X92">
        <v>0.01</v>
      </c>
      <c r="Y92">
        <v>0.21299999999999999</v>
      </c>
      <c r="Z92">
        <v>0.248</v>
      </c>
    </row>
    <row r="93" spans="1:33" x14ac:dyDescent="0.25">
      <c r="A93" s="1" t="s">
        <v>74</v>
      </c>
      <c r="J93" t="str">
        <f t="shared" si="15"/>
        <v xml:space="preserve">         1.1        0.04      0.0705      0.1323      0.0810       0.010       0.218       0.249              </v>
      </c>
      <c r="S93">
        <v>1.1000000000000001</v>
      </c>
      <c r="T93">
        <v>0.04</v>
      </c>
      <c r="U93">
        <v>7.0499999999999993E-2</v>
      </c>
      <c r="V93">
        <v>0.1323</v>
      </c>
      <c r="W93">
        <v>8.1000000000000003E-2</v>
      </c>
      <c r="X93">
        <v>0.01</v>
      </c>
      <c r="Y93">
        <v>0.218</v>
      </c>
      <c r="Z93">
        <v>0.249</v>
      </c>
    </row>
    <row r="94" spans="1:33" x14ac:dyDescent="0.25">
      <c r="A94" s="1" t="s">
        <v>75</v>
      </c>
      <c r="J94" t="str">
        <f t="shared" si="15"/>
        <v xml:space="preserve">         2.2        0.09      0.1380      0.1325      0.0830       0.011       0.224       0.249              </v>
      </c>
      <c r="S94">
        <v>2.2000000000000002</v>
      </c>
      <c r="T94">
        <v>0.09</v>
      </c>
      <c r="U94">
        <v>0.13800000000000001</v>
      </c>
      <c r="V94">
        <v>0.13250000000000001</v>
      </c>
      <c r="W94">
        <v>8.3000000000000004E-2</v>
      </c>
      <c r="X94">
        <v>1.0999999999999999E-2</v>
      </c>
      <c r="Y94">
        <v>0.224</v>
      </c>
      <c r="Z94">
        <v>0.249</v>
      </c>
    </row>
    <row r="95" spans="1:33" x14ac:dyDescent="0.25">
      <c r="A95" s="1" t="s">
        <v>76</v>
      </c>
      <c r="J95" t="str">
        <f t="shared" si="15"/>
        <v xml:space="preserve">         3.3        0.13      0.2022      0.1326      0.0850       0.011       0.229       0.250              </v>
      </c>
      <c r="S95">
        <v>3.3</v>
      </c>
      <c r="T95">
        <v>0.13</v>
      </c>
      <c r="U95">
        <v>0.20219999999999999</v>
      </c>
      <c r="V95">
        <v>0.1326</v>
      </c>
      <c r="W95">
        <v>8.5000000000000006E-2</v>
      </c>
      <c r="X95">
        <v>1.0999999999999999E-2</v>
      </c>
      <c r="Y95">
        <v>0.22900000000000001</v>
      </c>
      <c r="Z95">
        <v>0.25</v>
      </c>
    </row>
    <row r="96" spans="1:33" x14ac:dyDescent="0.25">
      <c r="A96" s="1" t="s">
        <v>77</v>
      </c>
      <c r="J96" t="str">
        <f t="shared" si="15"/>
        <v xml:space="preserve">         4.4        0.17      0.2633      0.1328      0.0872       0.011       0.235       0.250              </v>
      </c>
      <c r="S96">
        <v>4.4000000000000004</v>
      </c>
      <c r="T96">
        <v>0.17</v>
      </c>
      <c r="U96">
        <v>0.26329999999999998</v>
      </c>
      <c r="V96">
        <v>0.1328</v>
      </c>
      <c r="W96">
        <v>8.72E-2</v>
      </c>
      <c r="X96">
        <v>1.0999999999999999E-2</v>
      </c>
      <c r="Y96">
        <v>0.23499999999999999</v>
      </c>
      <c r="Z96">
        <v>0.25</v>
      </c>
    </row>
    <row r="97" spans="1:26" x14ac:dyDescent="0.25">
      <c r="A97" s="1" t="s">
        <v>78</v>
      </c>
      <c r="J97" t="str">
        <f t="shared" si="15"/>
        <v xml:space="preserve">         5.5        0.22      0.3211      0.1328      0.0894       0.011       0.241       0.250              </v>
      </c>
      <c r="S97">
        <v>5.5</v>
      </c>
      <c r="T97">
        <v>0.22</v>
      </c>
      <c r="U97">
        <v>0.3211</v>
      </c>
      <c r="V97">
        <v>0.1328</v>
      </c>
      <c r="W97">
        <v>8.9399999999999993E-2</v>
      </c>
      <c r="X97">
        <v>1.0999999999999999E-2</v>
      </c>
      <c r="Y97">
        <v>0.24099999999999999</v>
      </c>
      <c r="Z97">
        <v>0.25</v>
      </c>
    </row>
    <row r="98" spans="1:26" x14ac:dyDescent="0.25">
      <c r="A98" s="1" t="s">
        <v>79</v>
      </c>
      <c r="J98" t="str">
        <f t="shared" si="15"/>
        <v xml:space="preserve">         6.6        0.26      0.3757      0.1329      0.0917       0.012       0.247       0.250              </v>
      </c>
      <c r="S98">
        <v>6.6</v>
      </c>
      <c r="T98">
        <v>0.26</v>
      </c>
      <c r="U98">
        <v>0.37569999999999998</v>
      </c>
      <c r="V98">
        <v>0.13289999999999999</v>
      </c>
      <c r="W98">
        <v>9.1700000000000004E-2</v>
      </c>
      <c r="X98">
        <v>1.2E-2</v>
      </c>
      <c r="Y98">
        <v>0.247</v>
      </c>
      <c r="Z98">
        <v>0.25</v>
      </c>
    </row>
    <row r="99" spans="1:26" x14ac:dyDescent="0.25">
      <c r="A99" s="1" t="s">
        <v>80</v>
      </c>
      <c r="J99" t="str">
        <f t="shared" si="15"/>
        <v xml:space="preserve">         7.7        0.30      0.4271      0.1328      0.0940       0.012       0.253       0.250              </v>
      </c>
      <c r="S99">
        <v>7.7</v>
      </c>
      <c r="T99">
        <v>0.3</v>
      </c>
      <c r="U99">
        <v>0.42709999999999998</v>
      </c>
      <c r="V99">
        <v>0.1328</v>
      </c>
      <c r="W99">
        <v>9.4E-2</v>
      </c>
      <c r="X99">
        <v>1.2E-2</v>
      </c>
      <c r="Y99">
        <v>0.253</v>
      </c>
      <c r="Z99">
        <v>0.25</v>
      </c>
    </row>
    <row r="100" spans="1:26" x14ac:dyDescent="0.25">
      <c r="A100" s="1" t="s">
        <v>81</v>
      </c>
      <c r="J100" t="str">
        <f t="shared" si="15"/>
        <v xml:space="preserve">         8.8        0.35      0.4754      0.1326      0.0964       0.012       0.260       0.249              </v>
      </c>
      <c r="S100">
        <v>8.8000000000000007</v>
      </c>
      <c r="T100">
        <v>0.35</v>
      </c>
      <c r="U100">
        <v>0.47539999999999999</v>
      </c>
      <c r="V100">
        <v>0.1326</v>
      </c>
      <c r="W100">
        <v>9.64E-2</v>
      </c>
      <c r="X100">
        <v>1.2E-2</v>
      </c>
      <c r="Y100">
        <v>0.26</v>
      </c>
      <c r="Z100">
        <v>0.249</v>
      </c>
    </row>
    <row r="101" spans="1:26" x14ac:dyDescent="0.25">
      <c r="A101" s="1" t="s">
        <v>82</v>
      </c>
      <c r="J101" t="str">
        <f t="shared" si="15"/>
        <v xml:space="preserve">         9.9        0.39      0.5206      0.1323      0.0989       0.013       0.266       0.249              </v>
      </c>
      <c r="S101">
        <v>9.9</v>
      </c>
      <c r="T101">
        <v>0.39</v>
      </c>
      <c r="U101">
        <v>0.52059999999999995</v>
      </c>
      <c r="V101">
        <v>0.1323</v>
      </c>
      <c r="W101">
        <v>9.8900000000000002E-2</v>
      </c>
      <c r="X101">
        <v>1.2999999999999999E-2</v>
      </c>
      <c r="Y101">
        <v>0.26600000000000001</v>
      </c>
      <c r="Z101">
        <v>0.249</v>
      </c>
    </row>
    <row r="102" spans="1:26" x14ac:dyDescent="0.25">
      <c r="A102" s="1" t="s">
        <v>83</v>
      </c>
      <c r="J102" t="str">
        <f t="shared" si="15"/>
        <v xml:space="preserve">        11.0        0.43      0.5627      0.1318      0.1013       0.013       0.273       0.248              </v>
      </c>
      <c r="S102">
        <v>11</v>
      </c>
      <c r="T102">
        <v>0.43</v>
      </c>
      <c r="U102">
        <v>0.56269999999999998</v>
      </c>
      <c r="V102">
        <v>0.1318</v>
      </c>
      <c r="W102">
        <v>0.1013</v>
      </c>
      <c r="X102">
        <v>1.2999999999999999E-2</v>
      </c>
      <c r="Y102">
        <v>0.27300000000000002</v>
      </c>
      <c r="Z102">
        <v>0.248</v>
      </c>
    </row>
    <row r="103" spans="1:26" x14ac:dyDescent="0.25">
      <c r="A103" s="1" t="s">
        <v>84</v>
      </c>
      <c r="J103" t="str">
        <f t="shared" si="15"/>
        <v xml:space="preserve">        12.2        0.48      0.6018      0.1310      0.1035       0.013       0.279       0.246              </v>
      </c>
      <c r="S103">
        <v>12.2</v>
      </c>
      <c r="T103">
        <v>0.48</v>
      </c>
      <c r="U103">
        <v>0.6018</v>
      </c>
      <c r="V103">
        <v>0.13100000000000001</v>
      </c>
      <c r="W103">
        <v>0.10349999999999999</v>
      </c>
      <c r="X103">
        <v>1.2999999999999999E-2</v>
      </c>
      <c r="Y103">
        <v>0.27900000000000003</v>
      </c>
      <c r="Z103">
        <v>0.246</v>
      </c>
    </row>
    <row r="104" spans="1:26" x14ac:dyDescent="0.25">
      <c r="A104" s="1" t="s">
        <v>85</v>
      </c>
      <c r="J104" t="str">
        <f t="shared" si="15"/>
        <v xml:space="preserve">        13.3        0.52      0.6381      0.1295      0.1052       0.013       0.283       0.244              </v>
      </c>
      <c r="S104">
        <v>13.3</v>
      </c>
      <c r="T104">
        <v>0.52</v>
      </c>
      <c r="U104">
        <v>0.6381</v>
      </c>
      <c r="V104">
        <v>0.1295</v>
      </c>
      <c r="W104">
        <v>0.1052</v>
      </c>
      <c r="X104">
        <v>1.2999999999999999E-2</v>
      </c>
      <c r="Y104">
        <v>0.28299999999999997</v>
      </c>
      <c r="Z104">
        <v>0.24399999999999999</v>
      </c>
    </row>
    <row r="105" spans="1:26" x14ac:dyDescent="0.25">
      <c r="A105" s="1" t="s">
        <v>86</v>
      </c>
      <c r="J105" t="str">
        <f t="shared" si="15"/>
        <v xml:space="preserve">        14.4        0.56      0.6718      0.1266      0.1059       0.014       0.285       0.238              </v>
      </c>
      <c r="S105">
        <v>14.4</v>
      </c>
      <c r="T105">
        <v>0.56000000000000005</v>
      </c>
      <c r="U105">
        <v>0.67179999999999995</v>
      </c>
      <c r="V105">
        <v>0.12659999999999999</v>
      </c>
      <c r="W105">
        <v>0.10589999999999999</v>
      </c>
      <c r="X105">
        <v>1.4E-2</v>
      </c>
      <c r="Y105">
        <v>0.28499999999999998</v>
      </c>
      <c r="Z105">
        <v>0.23799999999999999</v>
      </c>
    </row>
    <row r="106" spans="1:26" x14ac:dyDescent="0.25">
      <c r="A106" s="1" t="s">
        <v>87</v>
      </c>
      <c r="J106" t="str">
        <f t="shared" si="15"/>
        <v xml:space="preserve">        15.5        0.60      0.7023      0.1227      0.1057       0.014       0.285       0.231              </v>
      </c>
      <c r="S106">
        <v>15.5</v>
      </c>
      <c r="T106">
        <v>0.6</v>
      </c>
      <c r="U106">
        <v>0.70230000000000004</v>
      </c>
      <c r="V106">
        <v>0.1227</v>
      </c>
      <c r="W106">
        <v>0.1057</v>
      </c>
      <c r="X106">
        <v>1.4E-2</v>
      </c>
      <c r="Y106">
        <v>0.28499999999999998</v>
      </c>
      <c r="Z106">
        <v>0.23100000000000001</v>
      </c>
    </row>
    <row r="107" spans="1:26" x14ac:dyDescent="0.25">
      <c r="A107" s="1" t="s">
        <v>88</v>
      </c>
      <c r="J107" t="str">
        <f t="shared" si="15"/>
        <v xml:space="preserve">        16.6        0.65      0.7296      0.1177      0.1046       0.013       0.282       0.221              </v>
      </c>
      <c r="S107">
        <v>16.600000000000001</v>
      </c>
      <c r="T107">
        <v>0.65</v>
      </c>
      <c r="U107">
        <v>0.72960000000000003</v>
      </c>
      <c r="V107">
        <v>0.1177</v>
      </c>
      <c r="W107">
        <v>0.1046</v>
      </c>
      <c r="X107">
        <v>1.2999999999999999E-2</v>
      </c>
      <c r="Y107">
        <v>0.28199999999999997</v>
      </c>
      <c r="Z107">
        <v>0.221</v>
      </c>
    </row>
    <row r="108" spans="1:26" x14ac:dyDescent="0.25">
      <c r="A108" s="1" t="s">
        <v>89</v>
      </c>
      <c r="J108" t="str">
        <f t="shared" si="15"/>
        <v xml:space="preserve">        17.7        0.69      0.7538      0.1119      0.1026       0.013       0.277       0.210              </v>
      </c>
      <c r="S108">
        <v>17.7</v>
      </c>
      <c r="T108">
        <v>0.69</v>
      </c>
      <c r="U108">
        <v>0.75380000000000003</v>
      </c>
      <c r="V108">
        <v>0.1119</v>
      </c>
      <c r="W108">
        <v>0.1026</v>
      </c>
      <c r="X108">
        <v>1.2999999999999999E-2</v>
      </c>
      <c r="Y108">
        <v>0.27700000000000002</v>
      </c>
      <c r="Z108">
        <v>0.21</v>
      </c>
    </row>
    <row r="109" spans="1:26" x14ac:dyDescent="0.25">
      <c r="A109" s="1" t="s">
        <v>90</v>
      </c>
      <c r="J109" t="str">
        <f t="shared" si="15"/>
        <v xml:space="preserve">        18.8        0.73      0.7747      0.1051      0.0996       0.013       0.268       0.198              </v>
      </c>
      <c r="S109">
        <v>18.8</v>
      </c>
      <c r="T109">
        <v>0.73</v>
      </c>
      <c r="U109">
        <v>0.77470000000000006</v>
      </c>
      <c r="V109">
        <v>0.1051</v>
      </c>
      <c r="W109">
        <v>9.9599999999999994E-2</v>
      </c>
      <c r="X109">
        <v>1.2999999999999999E-2</v>
      </c>
      <c r="Y109">
        <v>0.26800000000000002</v>
      </c>
      <c r="Z109">
        <v>0.19800000000000001</v>
      </c>
    </row>
    <row r="110" spans="1:26" x14ac:dyDescent="0.25">
      <c r="A110" s="1" t="s">
        <v>91</v>
      </c>
      <c r="J110" t="str">
        <f t="shared" si="15"/>
        <v xml:space="preserve">        19.9        0.78      0.7927      0.0972      0.0954       0.012       0.257       0.183              </v>
      </c>
      <c r="S110">
        <v>19.899999999999999</v>
      </c>
      <c r="T110">
        <v>0.78</v>
      </c>
      <c r="U110">
        <v>0.79269999999999996</v>
      </c>
      <c r="V110">
        <v>9.7199999999999995E-2</v>
      </c>
      <c r="W110">
        <v>9.5399999999999999E-2</v>
      </c>
      <c r="X110">
        <v>1.2E-2</v>
      </c>
      <c r="Y110">
        <v>0.25700000000000001</v>
      </c>
      <c r="Z110">
        <v>0.183</v>
      </c>
    </row>
    <row r="111" spans="1:26" x14ac:dyDescent="0.25">
      <c r="A111" s="1" t="s">
        <v>92</v>
      </c>
      <c r="J111" t="str">
        <f t="shared" si="15"/>
        <v xml:space="preserve">        21.0        0.82      0.8076      0.0892      0.0907       0.012       0.244       0.168              </v>
      </c>
      <c r="S111">
        <v>21</v>
      </c>
      <c r="T111">
        <v>0.82</v>
      </c>
      <c r="U111">
        <v>0.80759999999999998</v>
      </c>
      <c r="V111">
        <v>8.9200000000000002E-2</v>
      </c>
      <c r="W111">
        <v>9.0700000000000003E-2</v>
      </c>
      <c r="X111">
        <v>1.2E-2</v>
      </c>
      <c r="Y111">
        <v>0.24399999999999999</v>
      </c>
      <c r="Z111">
        <v>0.16800000000000001</v>
      </c>
    </row>
    <row r="112" spans="1:26" x14ac:dyDescent="0.25">
      <c r="A112" s="1" t="s">
        <v>93</v>
      </c>
      <c r="J112" t="str">
        <f t="shared" si="15"/>
        <v xml:space="preserve">        22.1        0.86      0.8197      0.0811      0.0855       0.011       0.230       0.153              </v>
      </c>
      <c r="S112">
        <v>22.1</v>
      </c>
      <c r="T112">
        <v>0.86</v>
      </c>
      <c r="U112">
        <v>0.81969999999999998</v>
      </c>
      <c r="V112">
        <v>8.1100000000000005E-2</v>
      </c>
      <c r="W112">
        <v>8.5500000000000007E-2</v>
      </c>
      <c r="X112">
        <v>1.0999999999999999E-2</v>
      </c>
      <c r="Y112">
        <v>0.23</v>
      </c>
      <c r="Z112">
        <v>0.153</v>
      </c>
    </row>
    <row r="113" spans="1:30" x14ac:dyDescent="0.25">
      <c r="A113" s="1" t="s">
        <v>94</v>
      </c>
      <c r="J113" t="str">
        <f t="shared" si="15"/>
        <v xml:space="preserve">        23.2        0.91      0.8294      0.0729      0.0798       0.010       0.215       0.137              </v>
      </c>
      <c r="S113">
        <v>23.2</v>
      </c>
      <c r="T113">
        <v>0.91</v>
      </c>
      <c r="U113">
        <v>0.82940000000000003</v>
      </c>
      <c r="V113">
        <v>7.2900000000000006E-2</v>
      </c>
      <c r="W113">
        <v>7.9799999999999996E-2</v>
      </c>
      <c r="X113">
        <v>0.01</v>
      </c>
      <c r="Y113">
        <v>0.215</v>
      </c>
      <c r="Z113">
        <v>0.13700000000000001</v>
      </c>
    </row>
    <row r="114" spans="1:30" x14ac:dyDescent="0.25">
      <c r="A114" s="1" t="s">
        <v>95</v>
      </c>
      <c r="J114" t="str">
        <f t="shared" si="15"/>
        <v xml:space="preserve">        24.3        0.95      0.8374      0.0645      0.0732       0.009       0.197       0.121              </v>
      </c>
      <c r="S114">
        <v>24.3</v>
      </c>
      <c r="T114">
        <v>0.95</v>
      </c>
      <c r="U114">
        <v>0.83740000000000003</v>
      </c>
      <c r="V114">
        <v>6.4500000000000002E-2</v>
      </c>
      <c r="W114">
        <v>7.3200000000000001E-2</v>
      </c>
      <c r="X114">
        <v>8.9999999999999993E-3</v>
      </c>
      <c r="Y114">
        <v>0.19700000000000001</v>
      </c>
      <c r="Z114">
        <v>0.121</v>
      </c>
    </row>
    <row r="115" spans="1:30" x14ac:dyDescent="0.25">
      <c r="A115" s="1" t="s">
        <v>96</v>
      </c>
      <c r="J115" t="str">
        <f t="shared" si="15"/>
        <v xml:space="preserve">        25.4        0.99      0.8439      0.0559      0.0658       0.008       0.177       0.105              </v>
      </c>
      <c r="S115">
        <v>25.4</v>
      </c>
      <c r="T115">
        <v>0.99</v>
      </c>
      <c r="U115">
        <v>0.84389999999999998</v>
      </c>
      <c r="V115">
        <v>5.5899999999999998E-2</v>
      </c>
      <c r="W115">
        <v>6.5799999999999997E-2</v>
      </c>
      <c r="X115">
        <v>8.0000000000000002E-3</v>
      </c>
      <c r="Y115">
        <v>0.17699999999999999</v>
      </c>
      <c r="Z115">
        <v>0.105</v>
      </c>
    </row>
    <row r="116" spans="1:30" x14ac:dyDescent="0.25">
      <c r="A116" s="1" t="s">
        <v>97</v>
      </c>
      <c r="J116" t="str">
        <f t="shared" si="15"/>
        <v xml:space="preserve">        26.5        1.04      0.8480      0.0470      0.0575       0.007       0.155       0.088              </v>
      </c>
      <c r="S116">
        <v>26.5</v>
      </c>
      <c r="T116">
        <v>1.04</v>
      </c>
      <c r="U116">
        <v>0.84799999999999998</v>
      </c>
      <c r="V116">
        <v>4.7E-2</v>
      </c>
      <c r="W116">
        <v>5.7500000000000002E-2</v>
      </c>
      <c r="X116">
        <v>7.0000000000000001E-3</v>
      </c>
      <c r="Y116">
        <v>0.155</v>
      </c>
      <c r="Z116">
        <v>8.7999999999999995E-2</v>
      </c>
    </row>
    <row r="117" spans="1:30" x14ac:dyDescent="0.25">
      <c r="A117" s="1" t="s">
        <v>98</v>
      </c>
      <c r="J117" t="str">
        <f t="shared" si="15"/>
        <v xml:space="preserve">        27.6        1.08      0.8491      0.0379      0.0482       0.006       0.130       0.071              </v>
      </c>
      <c r="S117">
        <v>27.6</v>
      </c>
      <c r="T117">
        <v>1.08</v>
      </c>
      <c r="U117">
        <v>0.84909999999999997</v>
      </c>
      <c r="V117">
        <v>3.7900000000000003E-2</v>
      </c>
      <c r="W117">
        <v>4.82E-2</v>
      </c>
      <c r="X117">
        <v>6.0000000000000001E-3</v>
      </c>
      <c r="Y117">
        <v>0.13</v>
      </c>
      <c r="Z117">
        <v>7.0999999999999994E-2</v>
      </c>
    </row>
    <row r="118" spans="1:30" x14ac:dyDescent="0.25">
      <c r="A118" s="1" t="s">
        <v>99</v>
      </c>
      <c r="J118" t="str">
        <f t="shared" si="15"/>
        <v xml:space="preserve">        28.7        1.12      0.8411      0.0285      0.0381       0.005       0.103       0.054              </v>
      </c>
      <c r="S118">
        <v>28.7</v>
      </c>
      <c r="T118">
        <v>1.1200000000000001</v>
      </c>
      <c r="U118">
        <v>0.84109999999999996</v>
      </c>
      <c r="V118">
        <v>2.8500000000000001E-2</v>
      </c>
      <c r="W118">
        <v>3.8100000000000002E-2</v>
      </c>
      <c r="X118">
        <v>5.0000000000000001E-3</v>
      </c>
      <c r="Y118">
        <v>0.10299999999999999</v>
      </c>
      <c r="Z118">
        <v>5.3999999999999999E-2</v>
      </c>
    </row>
    <row r="119" spans="1:30" x14ac:dyDescent="0.25">
      <c r="A119" s="1" t="s">
        <v>100</v>
      </c>
      <c r="J119" t="str">
        <f t="shared" si="15"/>
        <v xml:space="preserve">        29.8        1.17      0.8127      0.0191      0.0275       0.004       0.074       0.036              </v>
      </c>
      <c r="S119">
        <v>29.8</v>
      </c>
      <c r="T119">
        <v>1.17</v>
      </c>
      <c r="U119">
        <v>0.81269999999999998</v>
      </c>
      <c r="V119">
        <v>1.9099999999999999E-2</v>
      </c>
      <c r="W119">
        <v>2.75E-2</v>
      </c>
      <c r="X119">
        <v>4.0000000000000001E-3</v>
      </c>
      <c r="Y119">
        <v>7.3999999999999996E-2</v>
      </c>
      <c r="Z119">
        <v>3.5999999999999997E-2</v>
      </c>
    </row>
    <row r="120" spans="1:30" x14ac:dyDescent="0.25">
      <c r="A120" s="1" t="s">
        <v>101</v>
      </c>
      <c r="J120" t="str">
        <f t="shared" si="15"/>
        <v xml:space="preserve">        30.9        1.21      0.7184      0.0096      0.0162       0.002       0.044       0.018              </v>
      </c>
      <c r="S120">
        <v>30.9</v>
      </c>
      <c r="T120">
        <v>1.21</v>
      </c>
      <c r="U120">
        <v>0.71840000000000004</v>
      </c>
      <c r="V120">
        <v>9.5999999999999992E-3</v>
      </c>
      <c r="W120">
        <v>1.6199999999999999E-2</v>
      </c>
      <c r="X120">
        <v>2E-3</v>
      </c>
      <c r="Y120">
        <v>4.3999999999999997E-2</v>
      </c>
      <c r="Z120">
        <v>1.7999999999999999E-2</v>
      </c>
    </row>
    <row r="121" spans="1:30" x14ac:dyDescent="0.25">
      <c r="A121" s="1" t="s">
        <v>102</v>
      </c>
      <c r="J121" t="str">
        <f t="shared" si="15"/>
        <v xml:space="preserve">        32.0        1.25      0.0043      0.0000      0.0049       0.001       0.013       0.000              </v>
      </c>
      <c r="S121">
        <v>32</v>
      </c>
      <c r="T121">
        <v>1.25</v>
      </c>
      <c r="U121">
        <v>4.3E-3</v>
      </c>
      <c r="V121">
        <v>0</v>
      </c>
      <c r="W121">
        <v>4.8999999999999998E-3</v>
      </c>
      <c r="X121">
        <v>1E-3</v>
      </c>
      <c r="Y121">
        <v>1.2999999999999999E-2</v>
      </c>
      <c r="Z121">
        <v>0</v>
      </c>
    </row>
    <row r="122" spans="1:30" x14ac:dyDescent="0.25">
      <c r="A122" s="1" t="s">
        <v>1</v>
      </c>
    </row>
    <row r="123" spans="1:30" x14ac:dyDescent="0.25">
      <c r="A123" s="1" t="s">
        <v>1</v>
      </c>
    </row>
    <row r="124" spans="1:30" x14ac:dyDescent="0.25">
      <c r="A124" s="1" t="s">
        <v>1</v>
      </c>
    </row>
    <row r="125" spans="1:30" x14ac:dyDescent="0.25">
      <c r="A125" s="1" t="s">
        <v>103</v>
      </c>
      <c r="S125">
        <v>4000</v>
      </c>
      <c r="AC125" t="str">
        <f>CONCATENATE($V$16,$AC$13,S125)</f>
        <v>Ct@4000</v>
      </c>
      <c r="AD125" s="3" t="str">
        <f>CONCATENATE($W$16,$AC$13,S125)</f>
        <v>Cp@4000</v>
      </c>
    </row>
    <row r="126" spans="1:30" x14ac:dyDescent="0.25">
      <c r="A126" s="1" t="s">
        <v>1</v>
      </c>
    </row>
    <row r="127" spans="1:30" x14ac:dyDescent="0.25">
      <c r="A127" s="1" t="s">
        <v>9</v>
      </c>
      <c r="J127" t="str">
        <f>A127</f>
        <v xml:space="preserve">         V          J           Pe         Ct          Cp          PWR         Torque      Thrust             </v>
      </c>
      <c r="S127" t="s">
        <v>662</v>
      </c>
      <c r="T127" t="s">
        <v>663</v>
      </c>
      <c r="U127" t="s">
        <v>664</v>
      </c>
      <c r="V127" t="s">
        <v>665</v>
      </c>
      <c r="W127" t="s">
        <v>666</v>
      </c>
      <c r="X127" t="s">
        <v>667</v>
      </c>
      <c r="Y127" t="s">
        <v>668</v>
      </c>
      <c r="Z127" t="s">
        <v>669</v>
      </c>
    </row>
    <row r="128" spans="1:30" x14ac:dyDescent="0.25">
      <c r="A128" s="1" t="s">
        <v>10</v>
      </c>
      <c r="J128" t="str">
        <f t="shared" ref="J128:J158" si="16">A128</f>
        <v xml:space="preserve">       (mph)     (Adv Ratio)                                       (Hp)        (In-Lbf)     (Lbf)             </v>
      </c>
      <c r="S128" t="s">
        <v>670</v>
      </c>
      <c r="T128" t="s">
        <v>671</v>
      </c>
      <c r="X128" t="s">
        <v>672</v>
      </c>
      <c r="Y128" t="s">
        <v>673</v>
      </c>
      <c r="Z128" t="s">
        <v>674</v>
      </c>
    </row>
    <row r="129" spans="1:26" x14ac:dyDescent="0.25">
      <c r="A129" s="1" t="s">
        <v>104</v>
      </c>
      <c r="J129" t="str">
        <f t="shared" si="16"/>
        <v xml:space="preserve">         0.0        0.00      0.0000      0.1321      0.0793       0.024       0.380       0.442              </v>
      </c>
      <c r="S129">
        <v>0</v>
      </c>
      <c r="T129">
        <v>0</v>
      </c>
      <c r="U129">
        <v>0</v>
      </c>
      <c r="V129">
        <v>0.1321</v>
      </c>
      <c r="W129">
        <v>7.9299999999999995E-2</v>
      </c>
      <c r="X129">
        <v>2.4E-2</v>
      </c>
      <c r="Y129">
        <v>0.38</v>
      </c>
      <c r="Z129">
        <v>0.442</v>
      </c>
    </row>
    <row r="130" spans="1:26" x14ac:dyDescent="0.25">
      <c r="A130" s="1" t="s">
        <v>105</v>
      </c>
      <c r="J130" t="str">
        <f t="shared" si="16"/>
        <v xml:space="preserve">         1.5        0.04      0.0704      0.1323      0.0811       0.025       0.388       0.442              </v>
      </c>
      <c r="S130">
        <v>1.5</v>
      </c>
      <c r="T130">
        <v>0.04</v>
      </c>
      <c r="U130">
        <v>7.0400000000000004E-2</v>
      </c>
      <c r="V130">
        <v>0.1323</v>
      </c>
      <c r="W130">
        <v>8.1100000000000005E-2</v>
      </c>
      <c r="X130">
        <v>2.5000000000000001E-2</v>
      </c>
      <c r="Y130">
        <v>0.38800000000000001</v>
      </c>
      <c r="Z130">
        <v>0.442</v>
      </c>
    </row>
    <row r="131" spans="1:26" x14ac:dyDescent="0.25">
      <c r="A131" s="1" t="s">
        <v>106</v>
      </c>
      <c r="J131" t="str">
        <f t="shared" si="16"/>
        <v xml:space="preserve">         2.9        0.09      0.1378      0.1325      0.0831       0.025       0.398       0.443              </v>
      </c>
      <c r="S131">
        <v>2.9</v>
      </c>
      <c r="T131">
        <v>0.09</v>
      </c>
      <c r="U131">
        <v>0.13780000000000001</v>
      </c>
      <c r="V131">
        <v>0.13250000000000001</v>
      </c>
      <c r="W131">
        <v>8.3099999999999993E-2</v>
      </c>
      <c r="X131">
        <v>2.5000000000000001E-2</v>
      </c>
      <c r="Y131">
        <v>0.39800000000000002</v>
      </c>
      <c r="Z131">
        <v>0.443</v>
      </c>
    </row>
    <row r="132" spans="1:26" x14ac:dyDescent="0.25">
      <c r="A132" s="1" t="s">
        <v>107</v>
      </c>
      <c r="J132" t="str">
        <f t="shared" si="16"/>
        <v xml:space="preserve">         4.4        0.13      0.2019      0.1327      0.0851       0.026       0.408       0.444              </v>
      </c>
      <c r="S132">
        <v>4.4000000000000004</v>
      </c>
      <c r="T132">
        <v>0.13</v>
      </c>
      <c r="U132">
        <v>0.2019</v>
      </c>
      <c r="V132">
        <v>0.13270000000000001</v>
      </c>
      <c r="W132">
        <v>8.5099999999999995E-2</v>
      </c>
      <c r="X132">
        <v>2.5999999999999999E-2</v>
      </c>
      <c r="Y132">
        <v>0.40799999999999997</v>
      </c>
      <c r="Z132">
        <v>0.44400000000000001</v>
      </c>
    </row>
    <row r="133" spans="1:26" x14ac:dyDescent="0.25">
      <c r="A133" s="1" t="s">
        <v>108</v>
      </c>
      <c r="J133" t="str">
        <f t="shared" si="16"/>
        <v xml:space="preserve">         5.9        0.17      0.2629      0.1328      0.0872       0.027       0.418       0.444              </v>
      </c>
      <c r="S133">
        <v>5.9</v>
      </c>
      <c r="T133">
        <v>0.17</v>
      </c>
      <c r="U133">
        <v>0.26290000000000002</v>
      </c>
      <c r="V133">
        <v>0.1328</v>
      </c>
      <c r="W133">
        <v>8.72E-2</v>
      </c>
      <c r="X133">
        <v>2.7E-2</v>
      </c>
      <c r="Y133">
        <v>0.41799999999999998</v>
      </c>
      <c r="Z133">
        <v>0.44400000000000001</v>
      </c>
    </row>
    <row r="134" spans="1:26" x14ac:dyDescent="0.25">
      <c r="A134" s="1" t="s">
        <v>109</v>
      </c>
      <c r="J134" t="str">
        <f t="shared" si="16"/>
        <v xml:space="preserve">         7.4        0.22      0.3207      0.1329      0.0895       0.027       0.429       0.444              </v>
      </c>
      <c r="S134">
        <v>7.4</v>
      </c>
      <c r="T134">
        <v>0.22</v>
      </c>
      <c r="U134">
        <v>0.32069999999999999</v>
      </c>
      <c r="V134">
        <v>0.13289999999999999</v>
      </c>
      <c r="W134">
        <v>8.9499999999999996E-2</v>
      </c>
      <c r="X134">
        <v>2.7E-2</v>
      </c>
      <c r="Y134">
        <v>0.42899999999999999</v>
      </c>
      <c r="Z134">
        <v>0.44400000000000001</v>
      </c>
    </row>
    <row r="135" spans="1:26" x14ac:dyDescent="0.25">
      <c r="A135" s="1" t="s">
        <v>110</v>
      </c>
      <c r="J135" t="str">
        <f t="shared" si="16"/>
        <v xml:space="preserve">         8.8        0.26      0.3753      0.1329      0.0918       0.028       0.440       0.444              </v>
      </c>
      <c r="S135">
        <v>8.8000000000000007</v>
      </c>
      <c r="T135">
        <v>0.26</v>
      </c>
      <c r="U135">
        <v>0.37530000000000002</v>
      </c>
      <c r="V135">
        <v>0.13289999999999999</v>
      </c>
      <c r="W135">
        <v>9.1800000000000007E-2</v>
      </c>
      <c r="X135">
        <v>2.8000000000000001E-2</v>
      </c>
      <c r="Y135">
        <v>0.44</v>
      </c>
      <c r="Z135">
        <v>0.44400000000000001</v>
      </c>
    </row>
    <row r="136" spans="1:26" x14ac:dyDescent="0.25">
      <c r="A136" s="1" t="s">
        <v>111</v>
      </c>
      <c r="J136" t="str">
        <f t="shared" si="16"/>
        <v xml:space="preserve">        10.3        0.30      0.4266      0.1328      0.0941       0.029       0.451       0.444              </v>
      </c>
      <c r="S136">
        <v>10.3</v>
      </c>
      <c r="T136">
        <v>0.3</v>
      </c>
      <c r="U136">
        <v>0.42659999999999998</v>
      </c>
      <c r="V136">
        <v>0.1328</v>
      </c>
      <c r="W136">
        <v>9.4100000000000003E-2</v>
      </c>
      <c r="X136">
        <v>2.9000000000000001E-2</v>
      </c>
      <c r="Y136">
        <v>0.45100000000000001</v>
      </c>
      <c r="Z136">
        <v>0.44400000000000001</v>
      </c>
    </row>
    <row r="137" spans="1:26" x14ac:dyDescent="0.25">
      <c r="A137" s="1" t="s">
        <v>112</v>
      </c>
      <c r="J137" t="str">
        <f t="shared" si="16"/>
        <v xml:space="preserve">        11.8        0.35      0.4749      0.1327      0.0965       0.029       0.462       0.444              </v>
      </c>
      <c r="S137">
        <v>11.8</v>
      </c>
      <c r="T137">
        <v>0.35</v>
      </c>
      <c r="U137">
        <v>0.47489999999999999</v>
      </c>
      <c r="V137">
        <v>0.13270000000000001</v>
      </c>
      <c r="W137">
        <v>9.6500000000000002E-2</v>
      </c>
      <c r="X137">
        <v>2.9000000000000001E-2</v>
      </c>
      <c r="Y137">
        <v>0.46200000000000002</v>
      </c>
      <c r="Z137">
        <v>0.44400000000000001</v>
      </c>
    </row>
    <row r="138" spans="1:26" x14ac:dyDescent="0.25">
      <c r="A138" s="1" t="s">
        <v>113</v>
      </c>
      <c r="J138" t="str">
        <f t="shared" si="16"/>
        <v xml:space="preserve">        13.3        0.39      0.5200      0.1324      0.0990       0.030       0.474       0.443              </v>
      </c>
      <c r="S138">
        <v>13.3</v>
      </c>
      <c r="T138">
        <v>0.39</v>
      </c>
      <c r="U138">
        <v>0.52</v>
      </c>
      <c r="V138">
        <v>0.13239999999999999</v>
      </c>
      <c r="W138">
        <v>9.9000000000000005E-2</v>
      </c>
      <c r="X138">
        <v>0.03</v>
      </c>
      <c r="Y138">
        <v>0.47399999999999998</v>
      </c>
      <c r="Z138">
        <v>0.443</v>
      </c>
    </row>
    <row r="139" spans="1:26" x14ac:dyDescent="0.25">
      <c r="A139" s="1" t="s">
        <v>114</v>
      </c>
      <c r="J139" t="str">
        <f t="shared" si="16"/>
        <v xml:space="preserve">        14.7        0.43      0.5621      0.1319      0.1014       0.031       0.485       0.441              </v>
      </c>
      <c r="S139">
        <v>14.7</v>
      </c>
      <c r="T139">
        <v>0.43</v>
      </c>
      <c r="U139">
        <v>0.56210000000000004</v>
      </c>
      <c r="V139">
        <v>0.13189999999999999</v>
      </c>
      <c r="W139">
        <v>0.1014</v>
      </c>
      <c r="X139">
        <v>3.1E-2</v>
      </c>
      <c r="Y139">
        <v>0.48499999999999999</v>
      </c>
      <c r="Z139">
        <v>0.441</v>
      </c>
    </row>
    <row r="140" spans="1:26" x14ac:dyDescent="0.25">
      <c r="A140" s="1" t="s">
        <v>115</v>
      </c>
      <c r="J140" t="str">
        <f t="shared" si="16"/>
        <v xml:space="preserve">        16.2        0.48      0.6013      0.1311      0.1036       0.031       0.496       0.438              </v>
      </c>
      <c r="S140">
        <v>16.2</v>
      </c>
      <c r="T140">
        <v>0.48</v>
      </c>
      <c r="U140">
        <v>0.60129999999999995</v>
      </c>
      <c r="V140">
        <v>0.13109999999999999</v>
      </c>
      <c r="W140">
        <v>0.1036</v>
      </c>
      <c r="X140">
        <v>3.1E-2</v>
      </c>
      <c r="Y140">
        <v>0.496</v>
      </c>
      <c r="Z140">
        <v>0.438</v>
      </c>
    </row>
    <row r="141" spans="1:26" x14ac:dyDescent="0.25">
      <c r="A141" s="1" t="s">
        <v>116</v>
      </c>
      <c r="J141" t="str">
        <f t="shared" si="16"/>
        <v xml:space="preserve">        17.7        0.52      0.6376      0.1296      0.1053       0.032       0.505       0.433              </v>
      </c>
      <c r="S141">
        <v>17.7</v>
      </c>
      <c r="T141">
        <v>0.52</v>
      </c>
      <c r="U141">
        <v>0.63759999999999994</v>
      </c>
      <c r="V141">
        <v>0.12959999999999999</v>
      </c>
      <c r="W141">
        <v>0.1053</v>
      </c>
      <c r="X141">
        <v>3.2000000000000001E-2</v>
      </c>
      <c r="Y141">
        <v>0.505</v>
      </c>
      <c r="Z141">
        <v>0.433</v>
      </c>
    </row>
    <row r="142" spans="1:26" x14ac:dyDescent="0.25">
      <c r="A142" s="1" t="s">
        <v>117</v>
      </c>
      <c r="J142" t="str">
        <f t="shared" si="16"/>
        <v xml:space="preserve">        19.1        0.56      0.6712      0.1268      0.1061       0.032       0.508       0.424              </v>
      </c>
      <c r="S142">
        <v>19.100000000000001</v>
      </c>
      <c r="T142">
        <v>0.56000000000000005</v>
      </c>
      <c r="U142">
        <v>0.67120000000000002</v>
      </c>
      <c r="V142">
        <v>0.1268</v>
      </c>
      <c r="W142">
        <v>0.1061</v>
      </c>
      <c r="X142">
        <v>3.2000000000000001E-2</v>
      </c>
      <c r="Y142">
        <v>0.50800000000000001</v>
      </c>
      <c r="Z142">
        <v>0.42399999999999999</v>
      </c>
    </row>
    <row r="143" spans="1:26" x14ac:dyDescent="0.25">
      <c r="A143" s="1" t="s">
        <v>118</v>
      </c>
      <c r="J143" t="str">
        <f t="shared" si="16"/>
        <v xml:space="preserve">        20.6        0.60      0.7019      0.1229      0.1059       0.032       0.507       0.411              </v>
      </c>
      <c r="S143">
        <v>20.6</v>
      </c>
      <c r="T143">
        <v>0.6</v>
      </c>
      <c r="U143">
        <v>0.70189999999999997</v>
      </c>
      <c r="V143">
        <v>0.1229</v>
      </c>
      <c r="W143">
        <v>0.10589999999999999</v>
      </c>
      <c r="X143">
        <v>3.2000000000000001E-2</v>
      </c>
      <c r="Y143">
        <v>0.50700000000000001</v>
      </c>
      <c r="Z143">
        <v>0.41099999999999998</v>
      </c>
    </row>
    <row r="144" spans="1:26" x14ac:dyDescent="0.25">
      <c r="A144" s="1" t="s">
        <v>119</v>
      </c>
      <c r="J144" t="str">
        <f t="shared" si="16"/>
        <v xml:space="preserve">        22.1        0.65      0.7292      0.1179      0.1048       0.032       0.502       0.394              </v>
      </c>
      <c r="S144">
        <v>22.1</v>
      </c>
      <c r="T144">
        <v>0.65</v>
      </c>
      <c r="U144">
        <v>0.72919999999999996</v>
      </c>
      <c r="V144">
        <v>0.1179</v>
      </c>
      <c r="W144">
        <v>0.1048</v>
      </c>
      <c r="X144">
        <v>3.2000000000000001E-2</v>
      </c>
      <c r="Y144">
        <v>0.502</v>
      </c>
      <c r="Z144">
        <v>0.39400000000000002</v>
      </c>
    </row>
    <row r="145" spans="1:26" x14ac:dyDescent="0.25">
      <c r="A145" s="1" t="s">
        <v>120</v>
      </c>
      <c r="J145" t="str">
        <f t="shared" si="16"/>
        <v xml:space="preserve">        23.6        0.69      0.7534      0.1121      0.1028       0.031       0.493       0.375              </v>
      </c>
      <c r="S145">
        <v>23.6</v>
      </c>
      <c r="T145">
        <v>0.69</v>
      </c>
      <c r="U145">
        <v>0.75339999999999996</v>
      </c>
      <c r="V145">
        <v>0.11210000000000001</v>
      </c>
      <c r="W145">
        <v>0.1028</v>
      </c>
      <c r="X145">
        <v>3.1E-2</v>
      </c>
      <c r="Y145">
        <v>0.49299999999999999</v>
      </c>
      <c r="Z145">
        <v>0.375</v>
      </c>
    </row>
    <row r="146" spans="1:26" x14ac:dyDescent="0.25">
      <c r="A146" s="1" t="s">
        <v>121</v>
      </c>
      <c r="J146" t="str">
        <f t="shared" si="16"/>
        <v xml:space="preserve">        25.0        0.73      0.7744      0.1053      0.0999       0.030       0.478       0.352              </v>
      </c>
      <c r="S146">
        <v>25</v>
      </c>
      <c r="T146">
        <v>0.73</v>
      </c>
      <c r="U146">
        <v>0.77439999999999998</v>
      </c>
      <c r="V146">
        <v>0.1053</v>
      </c>
      <c r="W146">
        <v>9.9900000000000003E-2</v>
      </c>
      <c r="X146">
        <v>0.03</v>
      </c>
      <c r="Y146">
        <v>0.47799999999999998</v>
      </c>
      <c r="Z146">
        <v>0.35199999999999998</v>
      </c>
    </row>
    <row r="147" spans="1:26" x14ac:dyDescent="0.25">
      <c r="A147" s="1" t="s">
        <v>122</v>
      </c>
      <c r="J147" t="str">
        <f t="shared" si="16"/>
        <v xml:space="preserve">        26.5        0.78      0.7925      0.0975      0.0956       0.029       0.458       0.326              </v>
      </c>
      <c r="S147">
        <v>26.5</v>
      </c>
      <c r="T147">
        <v>0.78</v>
      </c>
      <c r="U147">
        <v>0.79249999999999998</v>
      </c>
      <c r="V147">
        <v>9.7500000000000003E-2</v>
      </c>
      <c r="W147">
        <v>9.5600000000000004E-2</v>
      </c>
      <c r="X147">
        <v>2.9000000000000001E-2</v>
      </c>
      <c r="Y147">
        <v>0.45800000000000002</v>
      </c>
      <c r="Z147">
        <v>0.32600000000000001</v>
      </c>
    </row>
    <row r="148" spans="1:26" x14ac:dyDescent="0.25">
      <c r="A148" s="1" t="s">
        <v>123</v>
      </c>
      <c r="J148" t="str">
        <f t="shared" si="16"/>
        <v xml:space="preserve">        28.0        0.82      0.8074      0.0895      0.0909       0.028       0.436       0.299              </v>
      </c>
      <c r="S148">
        <v>28</v>
      </c>
      <c r="T148">
        <v>0.82</v>
      </c>
      <c r="U148">
        <v>0.80740000000000001</v>
      </c>
      <c r="V148">
        <v>8.9499999999999996E-2</v>
      </c>
      <c r="W148">
        <v>9.0899999999999995E-2</v>
      </c>
      <c r="X148">
        <v>2.8000000000000001E-2</v>
      </c>
      <c r="Y148">
        <v>0.436</v>
      </c>
      <c r="Z148">
        <v>0.29899999999999999</v>
      </c>
    </row>
    <row r="149" spans="1:26" x14ac:dyDescent="0.25">
      <c r="A149" s="1" t="s">
        <v>124</v>
      </c>
      <c r="J149" t="str">
        <f t="shared" si="16"/>
        <v xml:space="preserve">        29.4        0.86      0.8196      0.0814      0.0857       0.026       0.411       0.272              </v>
      </c>
      <c r="S149">
        <v>29.4</v>
      </c>
      <c r="T149">
        <v>0.86</v>
      </c>
      <c r="U149">
        <v>0.8196</v>
      </c>
      <c r="V149">
        <v>8.14E-2</v>
      </c>
      <c r="W149">
        <v>8.5699999999999998E-2</v>
      </c>
      <c r="X149">
        <v>2.5999999999999999E-2</v>
      </c>
      <c r="Y149">
        <v>0.41099999999999998</v>
      </c>
      <c r="Z149">
        <v>0.27200000000000002</v>
      </c>
    </row>
    <row r="150" spans="1:26" x14ac:dyDescent="0.25">
      <c r="A150" s="1" t="s">
        <v>125</v>
      </c>
      <c r="J150" t="str">
        <f t="shared" si="16"/>
        <v xml:space="preserve">        30.9        0.91      0.8293      0.0731      0.0800       0.024       0.383       0.245              </v>
      </c>
      <c r="S150">
        <v>30.9</v>
      </c>
      <c r="T150">
        <v>0.91</v>
      </c>
      <c r="U150">
        <v>0.82930000000000004</v>
      </c>
      <c r="V150">
        <v>7.3099999999999998E-2</v>
      </c>
      <c r="W150">
        <v>0.08</v>
      </c>
      <c r="X150">
        <v>2.4E-2</v>
      </c>
      <c r="Y150">
        <v>0.38300000000000001</v>
      </c>
      <c r="Z150">
        <v>0.245</v>
      </c>
    </row>
    <row r="151" spans="1:26" x14ac:dyDescent="0.25">
      <c r="A151" s="1" t="s">
        <v>126</v>
      </c>
      <c r="J151" t="str">
        <f t="shared" si="16"/>
        <v xml:space="preserve">        32.4        0.95      0.8373      0.0647      0.0734       0.022       0.352       0.216              </v>
      </c>
      <c r="S151">
        <v>32.4</v>
      </c>
      <c r="T151">
        <v>0.95</v>
      </c>
      <c r="U151">
        <v>0.83730000000000004</v>
      </c>
      <c r="V151">
        <v>6.4699999999999994E-2</v>
      </c>
      <c r="W151">
        <v>7.3400000000000007E-2</v>
      </c>
      <c r="X151">
        <v>2.1999999999999999E-2</v>
      </c>
      <c r="Y151">
        <v>0.35199999999999998</v>
      </c>
      <c r="Z151">
        <v>0.216</v>
      </c>
    </row>
    <row r="152" spans="1:26" x14ac:dyDescent="0.25">
      <c r="A152" s="1" t="s">
        <v>127</v>
      </c>
      <c r="J152" t="str">
        <f t="shared" si="16"/>
        <v xml:space="preserve">        33.9        0.99      0.8439      0.0561      0.0660       0.020       0.316       0.188              </v>
      </c>
      <c r="S152">
        <v>33.9</v>
      </c>
      <c r="T152">
        <v>0.99</v>
      </c>
      <c r="U152">
        <v>0.84389999999999998</v>
      </c>
      <c r="V152">
        <v>5.6099999999999997E-2</v>
      </c>
      <c r="W152">
        <v>6.6000000000000003E-2</v>
      </c>
      <c r="X152">
        <v>0.02</v>
      </c>
      <c r="Y152">
        <v>0.316</v>
      </c>
      <c r="Z152">
        <v>0.188</v>
      </c>
    </row>
    <row r="153" spans="1:26" x14ac:dyDescent="0.25">
      <c r="A153" s="1" t="s">
        <v>128</v>
      </c>
      <c r="J153" t="str">
        <f t="shared" si="16"/>
        <v xml:space="preserve">        35.3        1.04      0.8481      0.0472      0.0577       0.018       0.276       0.158              </v>
      </c>
      <c r="S153">
        <v>35.299999999999997</v>
      </c>
      <c r="T153">
        <v>1.04</v>
      </c>
      <c r="U153">
        <v>0.84809999999999997</v>
      </c>
      <c r="V153">
        <v>4.7199999999999999E-2</v>
      </c>
      <c r="W153">
        <v>5.7700000000000001E-2</v>
      </c>
      <c r="X153">
        <v>1.7999999999999999E-2</v>
      </c>
      <c r="Y153">
        <v>0.27600000000000002</v>
      </c>
      <c r="Z153">
        <v>0.158</v>
      </c>
    </row>
    <row r="154" spans="1:26" x14ac:dyDescent="0.25">
      <c r="A154" s="1" t="s">
        <v>129</v>
      </c>
      <c r="J154" t="str">
        <f t="shared" si="16"/>
        <v xml:space="preserve">        36.8        1.08      0.8493      0.0381      0.0484       0.015       0.232       0.127              </v>
      </c>
      <c r="S154">
        <v>36.799999999999997</v>
      </c>
      <c r="T154">
        <v>1.08</v>
      </c>
      <c r="U154">
        <v>0.84930000000000005</v>
      </c>
      <c r="V154">
        <v>3.8100000000000002E-2</v>
      </c>
      <c r="W154">
        <v>4.8399999999999999E-2</v>
      </c>
      <c r="X154">
        <v>1.4999999999999999E-2</v>
      </c>
      <c r="Y154">
        <v>0.23200000000000001</v>
      </c>
      <c r="Z154">
        <v>0.127</v>
      </c>
    </row>
    <row r="155" spans="1:26" x14ac:dyDescent="0.25">
      <c r="A155" s="1" t="s">
        <v>130</v>
      </c>
      <c r="J155" t="str">
        <f t="shared" si="16"/>
        <v xml:space="preserve">        38.3        1.12      0.8415      0.0287      0.0384       0.012       0.184       0.096              </v>
      </c>
      <c r="S155">
        <v>38.299999999999997</v>
      </c>
      <c r="T155">
        <v>1.1200000000000001</v>
      </c>
      <c r="U155">
        <v>0.84150000000000003</v>
      </c>
      <c r="V155">
        <v>2.87E-2</v>
      </c>
      <c r="W155">
        <v>3.8399999999999997E-2</v>
      </c>
      <c r="X155">
        <v>1.2E-2</v>
      </c>
      <c r="Y155">
        <v>0.184</v>
      </c>
      <c r="Z155">
        <v>9.6000000000000002E-2</v>
      </c>
    </row>
    <row r="156" spans="1:26" x14ac:dyDescent="0.25">
      <c r="A156" s="1" t="s">
        <v>131</v>
      </c>
      <c r="J156" t="str">
        <f t="shared" si="16"/>
        <v xml:space="preserve">        39.8        1.17      0.8135      0.0193      0.0276       0.008       0.132       0.064              </v>
      </c>
      <c r="S156">
        <v>39.799999999999997</v>
      </c>
      <c r="T156">
        <v>1.17</v>
      </c>
      <c r="U156">
        <v>0.8135</v>
      </c>
      <c r="V156">
        <v>1.9300000000000001E-2</v>
      </c>
      <c r="W156">
        <v>2.76E-2</v>
      </c>
      <c r="X156">
        <v>8.0000000000000002E-3</v>
      </c>
      <c r="Y156">
        <v>0.13200000000000001</v>
      </c>
      <c r="Z156">
        <v>6.4000000000000001E-2</v>
      </c>
    </row>
    <row r="157" spans="1:26" x14ac:dyDescent="0.25">
      <c r="A157" s="1" t="s">
        <v>132</v>
      </c>
      <c r="J157" t="str">
        <f t="shared" si="16"/>
        <v xml:space="preserve">        41.2        1.21      0.7199      0.0097      0.0163       0.005       0.078       0.032              </v>
      </c>
      <c r="S157">
        <v>41.2</v>
      </c>
      <c r="T157">
        <v>1.21</v>
      </c>
      <c r="U157">
        <v>0.71989999999999998</v>
      </c>
      <c r="V157">
        <v>9.7000000000000003E-3</v>
      </c>
      <c r="W157">
        <v>1.6299999999999999E-2</v>
      </c>
      <c r="X157">
        <v>5.0000000000000001E-3</v>
      </c>
      <c r="Y157">
        <v>7.8E-2</v>
      </c>
      <c r="Z157">
        <v>3.2000000000000001E-2</v>
      </c>
    </row>
    <row r="158" spans="1:26" x14ac:dyDescent="0.25">
      <c r="A158" s="1" t="s">
        <v>133</v>
      </c>
      <c r="J158" t="str">
        <f t="shared" si="16"/>
        <v xml:space="preserve">        42.7        1.25     -0.0043      0.0000      0.0048       0.001       0.023       0.000              </v>
      </c>
      <c r="S158">
        <v>42.7</v>
      </c>
      <c r="T158">
        <v>1.25</v>
      </c>
      <c r="U158">
        <v>-4.3E-3</v>
      </c>
      <c r="V158">
        <v>0</v>
      </c>
      <c r="W158">
        <v>4.7999999999999996E-3</v>
      </c>
      <c r="X158">
        <v>1E-3</v>
      </c>
      <c r="Y158">
        <v>2.3E-2</v>
      </c>
      <c r="Z158">
        <v>0</v>
      </c>
    </row>
    <row r="159" spans="1:26" x14ac:dyDescent="0.25">
      <c r="A159" s="1" t="s">
        <v>1</v>
      </c>
    </row>
    <row r="160" spans="1:26" x14ac:dyDescent="0.25">
      <c r="A160" s="1" t="s">
        <v>1</v>
      </c>
    </row>
    <row r="161" spans="1:29" x14ac:dyDescent="0.25">
      <c r="A161" s="1" t="s">
        <v>1</v>
      </c>
    </row>
    <row r="162" spans="1:29" x14ac:dyDescent="0.25">
      <c r="A162" s="1" t="s">
        <v>134</v>
      </c>
      <c r="S162">
        <v>5000</v>
      </c>
      <c r="AC162" t="str">
        <f>CONCATENATE($V$16,$AC$13,S162)</f>
        <v>Ct@5000</v>
      </c>
    </row>
    <row r="163" spans="1:29" x14ac:dyDescent="0.25">
      <c r="A163" s="1" t="s">
        <v>1</v>
      </c>
    </row>
    <row r="164" spans="1:29" x14ac:dyDescent="0.25">
      <c r="A164" s="1" t="s">
        <v>9</v>
      </c>
      <c r="J164" t="str">
        <f>A164</f>
        <v xml:space="preserve">         V          J           Pe         Ct          Cp          PWR         Torque      Thrust             </v>
      </c>
      <c r="S164" t="s">
        <v>662</v>
      </c>
      <c r="T164" t="s">
        <v>663</v>
      </c>
      <c r="U164" t="s">
        <v>664</v>
      </c>
      <c r="V164" t="s">
        <v>665</v>
      </c>
      <c r="W164" t="s">
        <v>666</v>
      </c>
      <c r="X164" t="s">
        <v>667</v>
      </c>
      <c r="Y164" t="s">
        <v>668</v>
      </c>
      <c r="Z164" t="s">
        <v>669</v>
      </c>
    </row>
    <row r="165" spans="1:29" x14ac:dyDescent="0.25">
      <c r="A165" s="1" t="s">
        <v>10</v>
      </c>
      <c r="J165" t="str">
        <f t="shared" ref="J165:J195" si="17">A165</f>
        <v xml:space="preserve">       (mph)     (Adv Ratio)                                       (Hp)        (In-Lbf)     (Lbf)             </v>
      </c>
      <c r="S165" t="s">
        <v>670</v>
      </c>
      <c r="T165" t="s">
        <v>671</v>
      </c>
      <c r="X165" t="s">
        <v>672</v>
      </c>
      <c r="Y165" t="s">
        <v>673</v>
      </c>
      <c r="Z165" t="s">
        <v>674</v>
      </c>
    </row>
    <row r="166" spans="1:29" x14ac:dyDescent="0.25">
      <c r="A166" s="1" t="s">
        <v>135</v>
      </c>
      <c r="J166" t="str">
        <f t="shared" si="17"/>
        <v xml:space="preserve">         0.0        0.00      0.0000      0.1321      0.0794       0.047       0.594       0.690              </v>
      </c>
      <c r="S166">
        <v>0</v>
      </c>
      <c r="T166">
        <v>0</v>
      </c>
      <c r="U166">
        <v>0</v>
      </c>
      <c r="V166">
        <v>0.1321</v>
      </c>
      <c r="W166">
        <v>7.9399999999999998E-2</v>
      </c>
      <c r="X166">
        <v>4.7E-2</v>
      </c>
      <c r="Y166">
        <v>0.59399999999999997</v>
      </c>
      <c r="Z166">
        <v>0.69</v>
      </c>
    </row>
    <row r="167" spans="1:29" x14ac:dyDescent="0.25">
      <c r="A167" s="1" t="s">
        <v>136</v>
      </c>
      <c r="J167" t="str">
        <f t="shared" si="17"/>
        <v xml:space="preserve">         1.8        0.04      0.0703      0.1323      0.0812       0.048       0.608       0.691              </v>
      </c>
      <c r="S167">
        <v>1.8</v>
      </c>
      <c r="T167">
        <v>0.04</v>
      </c>
      <c r="U167">
        <v>7.0300000000000001E-2</v>
      </c>
      <c r="V167">
        <v>0.1323</v>
      </c>
      <c r="W167">
        <v>8.1199999999999994E-2</v>
      </c>
      <c r="X167">
        <v>4.8000000000000001E-2</v>
      </c>
      <c r="Y167">
        <v>0.60799999999999998</v>
      </c>
      <c r="Z167">
        <v>0.69099999999999995</v>
      </c>
    </row>
    <row r="168" spans="1:29" x14ac:dyDescent="0.25">
      <c r="A168" s="1" t="s">
        <v>137</v>
      </c>
      <c r="J168" t="str">
        <f t="shared" si="17"/>
        <v xml:space="preserve">         3.7        0.09      0.1376      0.1325      0.0832       0.049       0.623       0.692              </v>
      </c>
      <c r="S168">
        <v>3.7</v>
      </c>
      <c r="T168">
        <v>0.09</v>
      </c>
      <c r="U168">
        <v>0.1376</v>
      </c>
      <c r="V168">
        <v>0.13250000000000001</v>
      </c>
      <c r="W168">
        <v>8.3199999999999996E-2</v>
      </c>
      <c r="X168">
        <v>4.9000000000000002E-2</v>
      </c>
      <c r="Y168">
        <v>0.623</v>
      </c>
      <c r="Z168">
        <v>0.69199999999999995</v>
      </c>
    </row>
    <row r="169" spans="1:29" x14ac:dyDescent="0.25">
      <c r="A169" s="1" t="s">
        <v>138</v>
      </c>
      <c r="J169" t="str">
        <f t="shared" si="17"/>
        <v xml:space="preserve">         5.5        0.13      0.2016      0.1327      0.0852       0.051       0.638       0.693              </v>
      </c>
      <c r="S169">
        <v>5.5</v>
      </c>
      <c r="T169">
        <v>0.13</v>
      </c>
      <c r="U169">
        <v>0.2016</v>
      </c>
      <c r="V169">
        <v>0.13270000000000001</v>
      </c>
      <c r="W169">
        <v>8.5199999999999998E-2</v>
      </c>
      <c r="X169">
        <v>5.0999999999999997E-2</v>
      </c>
      <c r="Y169">
        <v>0.63800000000000001</v>
      </c>
      <c r="Z169">
        <v>0.69299999999999995</v>
      </c>
    </row>
    <row r="170" spans="1:29" x14ac:dyDescent="0.25">
      <c r="A170" s="1" t="s">
        <v>139</v>
      </c>
      <c r="J170" t="str">
        <f t="shared" si="17"/>
        <v xml:space="preserve">         7.4        0.17      0.2625      0.1328      0.0874       0.052       0.654       0.694              </v>
      </c>
      <c r="S170">
        <v>7.4</v>
      </c>
      <c r="T170">
        <v>0.17</v>
      </c>
      <c r="U170">
        <v>0.26250000000000001</v>
      </c>
      <c r="V170">
        <v>0.1328</v>
      </c>
      <c r="W170">
        <v>8.7400000000000005E-2</v>
      </c>
      <c r="X170">
        <v>5.1999999999999998E-2</v>
      </c>
      <c r="Y170">
        <v>0.65400000000000003</v>
      </c>
      <c r="Z170">
        <v>0.69399999999999995</v>
      </c>
    </row>
    <row r="171" spans="1:29" x14ac:dyDescent="0.25">
      <c r="A171" s="1" t="s">
        <v>140</v>
      </c>
      <c r="J171" t="str">
        <f t="shared" si="17"/>
        <v xml:space="preserve">         9.2        0.22      0.3203      0.1329      0.0896       0.053       0.670       0.694              </v>
      </c>
      <c r="S171">
        <v>9.1999999999999993</v>
      </c>
      <c r="T171">
        <v>0.22</v>
      </c>
      <c r="U171">
        <v>0.32029999999999997</v>
      </c>
      <c r="V171">
        <v>0.13289999999999999</v>
      </c>
      <c r="W171">
        <v>8.9599999999999999E-2</v>
      </c>
      <c r="X171">
        <v>5.2999999999999999E-2</v>
      </c>
      <c r="Y171">
        <v>0.67</v>
      </c>
      <c r="Z171">
        <v>0.69399999999999995</v>
      </c>
    </row>
    <row r="172" spans="1:29" x14ac:dyDescent="0.25">
      <c r="A172" s="1" t="s">
        <v>141</v>
      </c>
      <c r="J172" t="str">
        <f t="shared" si="17"/>
        <v xml:space="preserve">        11.0        0.26      0.3747      0.1329      0.0919       0.055       0.688       0.695              </v>
      </c>
      <c r="S172">
        <v>11</v>
      </c>
      <c r="T172">
        <v>0.26</v>
      </c>
      <c r="U172">
        <v>0.37469999999999998</v>
      </c>
      <c r="V172">
        <v>0.13289999999999999</v>
      </c>
      <c r="W172">
        <v>9.1899999999999996E-2</v>
      </c>
      <c r="X172">
        <v>5.5E-2</v>
      </c>
      <c r="Y172">
        <v>0.68799999999999994</v>
      </c>
      <c r="Z172">
        <v>0.69499999999999995</v>
      </c>
    </row>
    <row r="173" spans="1:29" x14ac:dyDescent="0.25">
      <c r="A173" s="1" t="s">
        <v>142</v>
      </c>
      <c r="J173" t="str">
        <f t="shared" si="17"/>
        <v xml:space="preserve">        12.9        0.30      0.4261      0.1329      0.0943       0.056       0.705       0.694              </v>
      </c>
      <c r="S173">
        <v>12.9</v>
      </c>
      <c r="T173">
        <v>0.3</v>
      </c>
      <c r="U173">
        <v>0.42609999999999998</v>
      </c>
      <c r="V173">
        <v>0.13289999999999999</v>
      </c>
      <c r="W173">
        <v>9.4299999999999995E-2</v>
      </c>
      <c r="X173">
        <v>5.6000000000000001E-2</v>
      </c>
      <c r="Y173">
        <v>0.70499999999999996</v>
      </c>
      <c r="Z173">
        <v>0.69399999999999995</v>
      </c>
    </row>
    <row r="174" spans="1:29" x14ac:dyDescent="0.25">
      <c r="A174" s="1" t="s">
        <v>143</v>
      </c>
      <c r="J174" t="str">
        <f t="shared" si="17"/>
        <v xml:space="preserve">        14.7        0.35      0.4743      0.1328      0.0967       0.057       0.724       0.694              </v>
      </c>
      <c r="S174">
        <v>14.7</v>
      </c>
      <c r="T174">
        <v>0.35</v>
      </c>
      <c r="U174">
        <v>0.4743</v>
      </c>
      <c r="V174">
        <v>0.1328</v>
      </c>
      <c r="W174">
        <v>9.6699999999999994E-2</v>
      </c>
      <c r="X174">
        <v>5.7000000000000002E-2</v>
      </c>
      <c r="Y174">
        <v>0.72399999999999998</v>
      </c>
      <c r="Z174">
        <v>0.69399999999999995</v>
      </c>
    </row>
    <row r="175" spans="1:29" x14ac:dyDescent="0.25">
      <c r="A175" s="1" t="s">
        <v>144</v>
      </c>
      <c r="J175" t="str">
        <f t="shared" si="17"/>
        <v xml:space="preserve">        16.6        0.39      0.5194      0.1325      0.0991       0.059       0.742       0.692              </v>
      </c>
      <c r="S175">
        <v>16.600000000000001</v>
      </c>
      <c r="T175">
        <v>0.39</v>
      </c>
      <c r="U175">
        <v>0.51939999999999997</v>
      </c>
      <c r="V175">
        <v>0.13250000000000001</v>
      </c>
      <c r="W175">
        <v>9.9099999999999994E-2</v>
      </c>
      <c r="X175">
        <v>5.8999999999999997E-2</v>
      </c>
      <c r="Y175">
        <v>0.74199999999999999</v>
      </c>
      <c r="Z175">
        <v>0.69199999999999995</v>
      </c>
    </row>
    <row r="176" spans="1:29" x14ac:dyDescent="0.25">
      <c r="A176" s="1" t="s">
        <v>145</v>
      </c>
      <c r="J176" t="str">
        <f t="shared" si="17"/>
        <v xml:space="preserve">        18.4        0.43      0.5616      0.1320      0.1015       0.060       0.760       0.690              </v>
      </c>
      <c r="S176">
        <v>18.399999999999999</v>
      </c>
      <c r="T176">
        <v>0.43</v>
      </c>
      <c r="U176">
        <v>0.56159999999999999</v>
      </c>
      <c r="V176">
        <v>0.13200000000000001</v>
      </c>
      <c r="W176">
        <v>0.10150000000000001</v>
      </c>
      <c r="X176">
        <v>0.06</v>
      </c>
      <c r="Y176">
        <v>0.76</v>
      </c>
      <c r="Z176">
        <v>0.69</v>
      </c>
    </row>
    <row r="177" spans="1:26" x14ac:dyDescent="0.25">
      <c r="A177" s="1" t="s">
        <v>146</v>
      </c>
      <c r="J177" t="str">
        <f t="shared" si="17"/>
        <v xml:space="preserve">        20.2        0.47      0.6008      0.1312      0.1037       0.062       0.776       0.686              </v>
      </c>
      <c r="S177">
        <v>20.2</v>
      </c>
      <c r="T177">
        <v>0.47</v>
      </c>
      <c r="U177">
        <v>0.6008</v>
      </c>
      <c r="V177">
        <v>0.13120000000000001</v>
      </c>
      <c r="W177">
        <v>0.1037</v>
      </c>
      <c r="X177">
        <v>6.2E-2</v>
      </c>
      <c r="Y177">
        <v>0.77600000000000002</v>
      </c>
      <c r="Z177">
        <v>0.68600000000000005</v>
      </c>
    </row>
    <row r="178" spans="1:26" x14ac:dyDescent="0.25">
      <c r="A178" s="1" t="s">
        <v>147</v>
      </c>
      <c r="J178" t="str">
        <f t="shared" si="17"/>
        <v xml:space="preserve">        22.1        0.52      0.6371      0.1298      0.1055       0.063       0.790       0.678              </v>
      </c>
      <c r="S178">
        <v>22.1</v>
      </c>
      <c r="T178">
        <v>0.52</v>
      </c>
      <c r="U178">
        <v>0.6371</v>
      </c>
      <c r="V178">
        <v>0.1298</v>
      </c>
      <c r="W178">
        <v>0.1055</v>
      </c>
      <c r="X178">
        <v>6.3E-2</v>
      </c>
      <c r="Y178">
        <v>0.79</v>
      </c>
      <c r="Z178">
        <v>0.67800000000000005</v>
      </c>
    </row>
    <row r="179" spans="1:26" x14ac:dyDescent="0.25">
      <c r="A179" s="1" t="s">
        <v>148</v>
      </c>
      <c r="J179" t="str">
        <f t="shared" si="17"/>
        <v xml:space="preserve">        23.9        0.56      0.6707      0.1271      0.1063       0.063       0.796       0.664              </v>
      </c>
      <c r="S179">
        <v>23.9</v>
      </c>
      <c r="T179">
        <v>0.56000000000000005</v>
      </c>
      <c r="U179">
        <v>0.67069999999999996</v>
      </c>
      <c r="V179">
        <v>0.12709999999999999</v>
      </c>
      <c r="W179">
        <v>0.10630000000000001</v>
      </c>
      <c r="X179">
        <v>6.3E-2</v>
      </c>
      <c r="Y179">
        <v>0.79600000000000004</v>
      </c>
      <c r="Z179">
        <v>0.66400000000000003</v>
      </c>
    </row>
    <row r="180" spans="1:26" x14ac:dyDescent="0.25">
      <c r="A180" s="1" t="s">
        <v>149</v>
      </c>
      <c r="J180" t="str">
        <f t="shared" si="17"/>
        <v xml:space="preserve">        25.8        0.60      0.7014      0.1231      0.1061       0.063       0.794       0.643              </v>
      </c>
      <c r="S180">
        <v>25.8</v>
      </c>
      <c r="T180">
        <v>0.6</v>
      </c>
      <c r="U180">
        <v>0.70140000000000002</v>
      </c>
      <c r="V180">
        <v>0.1231</v>
      </c>
      <c r="W180">
        <v>0.1061</v>
      </c>
      <c r="X180">
        <v>6.3E-2</v>
      </c>
      <c r="Y180">
        <v>0.79400000000000004</v>
      </c>
      <c r="Z180">
        <v>0.64300000000000002</v>
      </c>
    </row>
    <row r="181" spans="1:26" x14ac:dyDescent="0.25">
      <c r="A181" s="1" t="s">
        <v>150</v>
      </c>
      <c r="J181" t="str">
        <f t="shared" si="17"/>
        <v xml:space="preserve">        27.6        0.65      0.7288      0.1182      0.1050       0.062       0.786       0.618              </v>
      </c>
      <c r="S181">
        <v>27.6</v>
      </c>
      <c r="T181">
        <v>0.65</v>
      </c>
      <c r="U181">
        <v>0.7288</v>
      </c>
      <c r="V181">
        <v>0.1182</v>
      </c>
      <c r="W181">
        <v>0.105</v>
      </c>
      <c r="X181">
        <v>6.2E-2</v>
      </c>
      <c r="Y181">
        <v>0.78600000000000003</v>
      </c>
      <c r="Z181">
        <v>0.61799999999999999</v>
      </c>
    </row>
    <row r="182" spans="1:26" x14ac:dyDescent="0.25">
      <c r="A182" s="1" t="s">
        <v>151</v>
      </c>
      <c r="J182" t="str">
        <f t="shared" si="17"/>
        <v xml:space="preserve">        29.4        0.69      0.7531      0.1124      0.1031       0.061       0.772       0.587              </v>
      </c>
      <c r="S182">
        <v>29.4</v>
      </c>
      <c r="T182">
        <v>0.69</v>
      </c>
      <c r="U182">
        <v>0.75309999999999999</v>
      </c>
      <c r="V182">
        <v>0.1124</v>
      </c>
      <c r="W182">
        <v>0.1031</v>
      </c>
      <c r="X182">
        <v>6.0999999999999999E-2</v>
      </c>
      <c r="Y182">
        <v>0.77200000000000002</v>
      </c>
      <c r="Z182">
        <v>0.58699999999999997</v>
      </c>
    </row>
    <row r="183" spans="1:26" x14ac:dyDescent="0.25">
      <c r="A183" s="1" t="s">
        <v>152</v>
      </c>
      <c r="J183" t="str">
        <f t="shared" si="17"/>
        <v xml:space="preserve">        31.3        0.73      0.7742      0.1056      0.1001       0.059       0.750       0.552              </v>
      </c>
      <c r="S183">
        <v>31.3</v>
      </c>
      <c r="T183">
        <v>0.73</v>
      </c>
      <c r="U183">
        <v>0.7742</v>
      </c>
      <c r="V183">
        <v>0.1056</v>
      </c>
      <c r="W183">
        <v>0.10009999999999999</v>
      </c>
      <c r="X183">
        <v>5.8999999999999997E-2</v>
      </c>
      <c r="Y183">
        <v>0.75</v>
      </c>
      <c r="Z183">
        <v>0.55200000000000005</v>
      </c>
    </row>
    <row r="184" spans="1:26" x14ac:dyDescent="0.25">
      <c r="A184" s="1" t="s">
        <v>153</v>
      </c>
      <c r="J184" t="str">
        <f t="shared" si="17"/>
        <v xml:space="preserve">        33.1        0.78      0.7924      0.0977      0.0959       0.057       0.717       0.511              </v>
      </c>
      <c r="S184">
        <v>33.1</v>
      </c>
      <c r="T184">
        <v>0.78</v>
      </c>
      <c r="U184">
        <v>0.79239999999999999</v>
      </c>
      <c r="V184">
        <v>9.7699999999999995E-2</v>
      </c>
      <c r="W184">
        <v>9.5899999999999999E-2</v>
      </c>
      <c r="X184">
        <v>5.7000000000000002E-2</v>
      </c>
      <c r="Y184">
        <v>0.71699999999999997</v>
      </c>
      <c r="Z184">
        <v>0.51100000000000001</v>
      </c>
    </row>
    <row r="185" spans="1:26" x14ac:dyDescent="0.25">
      <c r="A185" s="1" t="s">
        <v>154</v>
      </c>
      <c r="J185" t="str">
        <f t="shared" si="17"/>
        <v xml:space="preserve">        35.0        0.82      0.8074      0.0897      0.0912       0.054       0.682       0.469              </v>
      </c>
      <c r="S185">
        <v>35</v>
      </c>
      <c r="T185">
        <v>0.82</v>
      </c>
      <c r="U185">
        <v>0.80740000000000001</v>
      </c>
      <c r="V185">
        <v>8.9700000000000002E-2</v>
      </c>
      <c r="W185">
        <v>9.1200000000000003E-2</v>
      </c>
      <c r="X185">
        <v>5.3999999999999999E-2</v>
      </c>
      <c r="Y185">
        <v>0.68200000000000005</v>
      </c>
      <c r="Z185">
        <v>0.46899999999999997</v>
      </c>
    </row>
    <row r="186" spans="1:26" x14ac:dyDescent="0.25">
      <c r="A186" s="1" t="s">
        <v>155</v>
      </c>
      <c r="J186" t="str">
        <f t="shared" si="17"/>
        <v xml:space="preserve">        36.8        0.86      0.8195      0.0816      0.0860       0.051       0.643       0.426              </v>
      </c>
      <c r="S186">
        <v>36.799999999999997</v>
      </c>
      <c r="T186">
        <v>0.86</v>
      </c>
      <c r="U186">
        <v>0.81950000000000001</v>
      </c>
      <c r="V186">
        <v>8.1600000000000006E-2</v>
      </c>
      <c r="W186">
        <v>8.5999999999999993E-2</v>
      </c>
      <c r="X186">
        <v>5.0999999999999997E-2</v>
      </c>
      <c r="Y186">
        <v>0.64300000000000002</v>
      </c>
      <c r="Z186">
        <v>0.42599999999999999</v>
      </c>
    </row>
    <row r="187" spans="1:26" x14ac:dyDescent="0.25">
      <c r="A187" s="1" t="s">
        <v>156</v>
      </c>
      <c r="J187" t="str">
        <f t="shared" si="17"/>
        <v xml:space="preserve">        38.6        0.91      0.8293      0.0733      0.0802       0.048       0.600       0.383              </v>
      </c>
      <c r="S187">
        <v>38.6</v>
      </c>
      <c r="T187">
        <v>0.91</v>
      </c>
      <c r="U187">
        <v>0.82930000000000004</v>
      </c>
      <c r="V187">
        <v>7.3300000000000004E-2</v>
      </c>
      <c r="W187">
        <v>8.0199999999999994E-2</v>
      </c>
      <c r="X187">
        <v>4.8000000000000001E-2</v>
      </c>
      <c r="Y187">
        <v>0.6</v>
      </c>
      <c r="Z187">
        <v>0.38300000000000001</v>
      </c>
    </row>
    <row r="188" spans="1:26" x14ac:dyDescent="0.25">
      <c r="A188" s="1" t="s">
        <v>157</v>
      </c>
      <c r="J188" t="str">
        <f t="shared" si="17"/>
        <v xml:space="preserve">        40.5        0.95      0.8374      0.0649      0.0737       0.044       0.551       0.339              </v>
      </c>
      <c r="S188">
        <v>40.5</v>
      </c>
      <c r="T188">
        <v>0.95</v>
      </c>
      <c r="U188">
        <v>0.83740000000000003</v>
      </c>
      <c r="V188">
        <v>6.4899999999999999E-2</v>
      </c>
      <c r="W188">
        <v>7.3700000000000002E-2</v>
      </c>
      <c r="X188">
        <v>4.3999999999999997E-2</v>
      </c>
      <c r="Y188">
        <v>0.55100000000000005</v>
      </c>
      <c r="Z188">
        <v>0.33900000000000002</v>
      </c>
    </row>
    <row r="189" spans="1:26" x14ac:dyDescent="0.25">
      <c r="A189" s="1" t="s">
        <v>158</v>
      </c>
      <c r="J189" t="str">
        <f t="shared" si="17"/>
        <v xml:space="preserve">        42.3        0.99      0.8439      0.0563      0.0662       0.039       0.496       0.294              </v>
      </c>
      <c r="S189">
        <v>42.3</v>
      </c>
      <c r="T189">
        <v>0.99</v>
      </c>
      <c r="U189">
        <v>0.84389999999999998</v>
      </c>
      <c r="V189">
        <v>5.6300000000000003E-2</v>
      </c>
      <c r="W189">
        <v>6.6199999999999995E-2</v>
      </c>
      <c r="X189">
        <v>3.9E-2</v>
      </c>
      <c r="Y189">
        <v>0.496</v>
      </c>
      <c r="Z189">
        <v>0.29399999999999998</v>
      </c>
    </row>
    <row r="190" spans="1:26" x14ac:dyDescent="0.25">
      <c r="A190" s="1" t="s">
        <v>159</v>
      </c>
      <c r="J190" t="str">
        <f t="shared" si="17"/>
        <v xml:space="preserve">        44.2        1.04      0.8481      0.0474      0.0579       0.034       0.433       0.248              </v>
      </c>
      <c r="S190">
        <v>44.2</v>
      </c>
      <c r="T190">
        <v>1.04</v>
      </c>
      <c r="U190">
        <v>0.84809999999999997</v>
      </c>
      <c r="V190">
        <v>4.7399999999999998E-2</v>
      </c>
      <c r="W190">
        <v>5.79E-2</v>
      </c>
      <c r="X190">
        <v>3.4000000000000002E-2</v>
      </c>
      <c r="Y190">
        <v>0.433</v>
      </c>
      <c r="Z190">
        <v>0.248</v>
      </c>
    </row>
    <row r="191" spans="1:26" x14ac:dyDescent="0.25">
      <c r="A191" s="1" t="s">
        <v>160</v>
      </c>
      <c r="J191" t="str">
        <f t="shared" si="17"/>
        <v xml:space="preserve">        46.0        1.08      0.8494      0.0382      0.0486       0.029       0.364       0.200              </v>
      </c>
      <c r="S191">
        <v>46</v>
      </c>
      <c r="T191">
        <v>1.08</v>
      </c>
      <c r="U191">
        <v>0.84940000000000004</v>
      </c>
      <c r="V191">
        <v>3.8199999999999998E-2</v>
      </c>
      <c r="W191">
        <v>4.8599999999999997E-2</v>
      </c>
      <c r="X191">
        <v>2.9000000000000001E-2</v>
      </c>
      <c r="Y191">
        <v>0.36399999999999999</v>
      </c>
      <c r="Z191">
        <v>0.2</v>
      </c>
    </row>
    <row r="192" spans="1:26" x14ac:dyDescent="0.25">
      <c r="A192" s="1" t="s">
        <v>161</v>
      </c>
      <c r="J192" t="str">
        <f t="shared" si="17"/>
        <v xml:space="preserve">        47.8        1.12      0.8418      0.0289      0.0385       0.023       0.288       0.151              </v>
      </c>
      <c r="S192">
        <v>47.8</v>
      </c>
      <c r="T192">
        <v>1.1200000000000001</v>
      </c>
      <c r="U192">
        <v>0.84179999999999999</v>
      </c>
      <c r="V192">
        <v>2.8899999999999999E-2</v>
      </c>
      <c r="W192">
        <v>3.85E-2</v>
      </c>
      <c r="X192">
        <v>2.3E-2</v>
      </c>
      <c r="Y192">
        <v>0.28799999999999998</v>
      </c>
      <c r="Z192">
        <v>0.151</v>
      </c>
    </row>
    <row r="193" spans="1:29" x14ac:dyDescent="0.25">
      <c r="A193" s="1" t="s">
        <v>162</v>
      </c>
      <c r="J193" t="str">
        <f t="shared" si="17"/>
        <v xml:space="preserve">        49.7        1.17      0.8140      0.0194      0.0278       0.016       0.208       0.101              </v>
      </c>
      <c r="S193">
        <v>49.7</v>
      </c>
      <c r="T193">
        <v>1.17</v>
      </c>
      <c r="U193">
        <v>0.81399999999999995</v>
      </c>
      <c r="V193">
        <v>1.9400000000000001E-2</v>
      </c>
      <c r="W193">
        <v>2.7799999999999998E-2</v>
      </c>
      <c r="X193">
        <v>1.6E-2</v>
      </c>
      <c r="Y193">
        <v>0.20799999999999999</v>
      </c>
      <c r="Z193">
        <v>0.10100000000000001</v>
      </c>
    </row>
    <row r="194" spans="1:29" x14ac:dyDescent="0.25">
      <c r="A194" s="1" t="s">
        <v>163</v>
      </c>
      <c r="J194" t="str">
        <f t="shared" si="17"/>
        <v xml:space="preserve">        51.5        1.21      0.7207      0.0097      0.0163       0.010       0.122       0.051              </v>
      </c>
      <c r="S194">
        <v>51.5</v>
      </c>
      <c r="T194">
        <v>1.21</v>
      </c>
      <c r="U194">
        <v>0.72070000000000001</v>
      </c>
      <c r="V194">
        <v>9.7000000000000003E-3</v>
      </c>
      <c r="W194">
        <v>1.6299999999999999E-2</v>
      </c>
      <c r="X194">
        <v>0.01</v>
      </c>
      <c r="Y194">
        <v>0.122</v>
      </c>
      <c r="Z194">
        <v>5.0999999999999997E-2</v>
      </c>
    </row>
    <row r="195" spans="1:29" x14ac:dyDescent="0.25">
      <c r="A195" s="1" t="s">
        <v>164</v>
      </c>
      <c r="J195" t="str">
        <f t="shared" si="17"/>
        <v xml:space="preserve">        53.4        1.25     -0.0006      0.0000      0.0048       0.003       0.036       0.000              </v>
      </c>
      <c r="S195">
        <v>53.4</v>
      </c>
      <c r="T195">
        <v>1.25</v>
      </c>
      <c r="U195">
        <v>-5.9999999999999995E-4</v>
      </c>
      <c r="V195">
        <v>0</v>
      </c>
      <c r="W195">
        <v>4.7999999999999996E-3</v>
      </c>
      <c r="X195">
        <v>3.0000000000000001E-3</v>
      </c>
      <c r="Y195">
        <v>3.5999999999999997E-2</v>
      </c>
      <c r="Z195">
        <v>0</v>
      </c>
    </row>
    <row r="196" spans="1:29" x14ac:dyDescent="0.25">
      <c r="A196" s="1" t="s">
        <v>1</v>
      </c>
    </row>
    <row r="197" spans="1:29" x14ac:dyDescent="0.25">
      <c r="A197" s="1" t="s">
        <v>1</v>
      </c>
    </row>
    <row r="198" spans="1:29" x14ac:dyDescent="0.25">
      <c r="A198" s="1" t="s">
        <v>1</v>
      </c>
    </row>
    <row r="199" spans="1:29" x14ac:dyDescent="0.25">
      <c r="A199" s="1" t="s">
        <v>165</v>
      </c>
      <c r="S199">
        <v>6000</v>
      </c>
      <c r="AC199" t="str">
        <f>CONCATENATE($V$16,$AC$13,S199)</f>
        <v>Ct@6000</v>
      </c>
    </row>
    <row r="200" spans="1:29" x14ac:dyDescent="0.25">
      <c r="A200" s="1" t="s">
        <v>1</v>
      </c>
    </row>
    <row r="201" spans="1:29" x14ac:dyDescent="0.25">
      <c r="A201" s="1" t="s">
        <v>9</v>
      </c>
      <c r="J201" t="str">
        <f>A201</f>
        <v xml:space="preserve">         V          J           Pe         Ct          Cp          PWR         Torque      Thrust             </v>
      </c>
      <c r="S201" t="s">
        <v>662</v>
      </c>
      <c r="T201" t="s">
        <v>663</v>
      </c>
      <c r="U201" t="s">
        <v>664</v>
      </c>
      <c r="V201" t="s">
        <v>665</v>
      </c>
      <c r="W201" t="s">
        <v>666</v>
      </c>
      <c r="X201" t="s">
        <v>667</v>
      </c>
      <c r="Y201" t="s">
        <v>668</v>
      </c>
      <c r="Z201" t="s">
        <v>669</v>
      </c>
    </row>
    <row r="202" spans="1:29" x14ac:dyDescent="0.25">
      <c r="A202" s="1" t="s">
        <v>10</v>
      </c>
      <c r="J202" t="str">
        <f t="shared" ref="J202:J232" si="18">A202</f>
        <v xml:space="preserve">       (mph)     (Adv Ratio)                                       (Hp)        (In-Lbf)     (Lbf)             </v>
      </c>
      <c r="S202" t="s">
        <v>670</v>
      </c>
      <c r="T202" t="s">
        <v>671</v>
      </c>
      <c r="X202" t="s">
        <v>672</v>
      </c>
      <c r="Y202" t="s">
        <v>673</v>
      </c>
      <c r="Z202" t="s">
        <v>674</v>
      </c>
    </row>
    <row r="203" spans="1:29" x14ac:dyDescent="0.25">
      <c r="A203" s="1" t="s">
        <v>166</v>
      </c>
      <c r="J203" t="str">
        <f t="shared" si="18"/>
        <v xml:space="preserve">         0.0        0.00      0.0000      0.1320      0.0787       0.081       0.848       0.993              </v>
      </c>
      <c r="S203">
        <v>0</v>
      </c>
      <c r="T203">
        <v>0</v>
      </c>
      <c r="U203">
        <v>0</v>
      </c>
      <c r="V203">
        <v>0.13200000000000001</v>
      </c>
      <c r="W203">
        <v>7.8700000000000006E-2</v>
      </c>
      <c r="X203">
        <v>8.1000000000000003E-2</v>
      </c>
      <c r="Y203">
        <v>0.84799999999999998</v>
      </c>
      <c r="Z203">
        <v>0.99299999999999999</v>
      </c>
    </row>
    <row r="204" spans="1:29" x14ac:dyDescent="0.25">
      <c r="A204" s="1" t="s">
        <v>167</v>
      </c>
      <c r="J204" t="str">
        <f t="shared" si="18"/>
        <v xml:space="preserve">         2.2        0.04      0.0708      0.1322      0.0806       0.083       0.868       0.994              </v>
      </c>
      <c r="S204">
        <v>2.2000000000000002</v>
      </c>
      <c r="T204">
        <v>0.04</v>
      </c>
      <c r="U204">
        <v>7.0800000000000002E-2</v>
      </c>
      <c r="V204">
        <v>0.13220000000000001</v>
      </c>
      <c r="W204">
        <v>8.0600000000000005E-2</v>
      </c>
      <c r="X204">
        <v>8.3000000000000004E-2</v>
      </c>
      <c r="Y204">
        <v>0.86799999999999999</v>
      </c>
      <c r="Z204">
        <v>0.99399999999999999</v>
      </c>
    </row>
    <row r="205" spans="1:29" x14ac:dyDescent="0.25">
      <c r="A205" s="1" t="s">
        <v>168</v>
      </c>
      <c r="J205" t="str">
        <f t="shared" si="18"/>
        <v xml:space="preserve">         4.4        0.09      0.1384      0.1324      0.0825       0.085       0.890       0.996              </v>
      </c>
      <c r="S205">
        <v>4.4000000000000004</v>
      </c>
      <c r="T205">
        <v>0.09</v>
      </c>
      <c r="U205">
        <v>0.1384</v>
      </c>
      <c r="V205">
        <v>0.13239999999999999</v>
      </c>
      <c r="W205">
        <v>8.2500000000000004E-2</v>
      </c>
      <c r="X205">
        <v>8.5000000000000006E-2</v>
      </c>
      <c r="Y205">
        <v>0.89</v>
      </c>
      <c r="Z205">
        <v>0.996</v>
      </c>
    </row>
    <row r="206" spans="1:29" x14ac:dyDescent="0.25">
      <c r="A206" s="1" t="s">
        <v>169</v>
      </c>
      <c r="J206" t="str">
        <f t="shared" si="18"/>
        <v xml:space="preserve">         6.6        0.13      0.2028      0.1325      0.0846       0.087       0.912       0.997              </v>
      </c>
      <c r="S206">
        <v>6.6</v>
      </c>
      <c r="T206">
        <v>0.13</v>
      </c>
      <c r="U206">
        <v>0.20280000000000001</v>
      </c>
      <c r="V206">
        <v>0.13250000000000001</v>
      </c>
      <c r="W206">
        <v>8.4599999999999995E-2</v>
      </c>
      <c r="X206">
        <v>8.6999999999999994E-2</v>
      </c>
      <c r="Y206">
        <v>0.91200000000000003</v>
      </c>
      <c r="Z206">
        <v>0.997</v>
      </c>
    </row>
    <row r="207" spans="1:29" x14ac:dyDescent="0.25">
      <c r="A207" s="1" t="s">
        <v>170</v>
      </c>
      <c r="J207" t="str">
        <f t="shared" si="18"/>
        <v xml:space="preserve">         8.8        0.17      0.2640      0.1327      0.0868       0.089       0.935       0.998              </v>
      </c>
      <c r="S207">
        <v>8.8000000000000007</v>
      </c>
      <c r="T207">
        <v>0.17</v>
      </c>
      <c r="U207">
        <v>0.26400000000000001</v>
      </c>
      <c r="V207">
        <v>0.13270000000000001</v>
      </c>
      <c r="W207">
        <v>8.6800000000000002E-2</v>
      </c>
      <c r="X207">
        <v>8.8999999999999996E-2</v>
      </c>
      <c r="Y207">
        <v>0.93500000000000005</v>
      </c>
      <c r="Z207">
        <v>0.998</v>
      </c>
    </row>
    <row r="208" spans="1:29" x14ac:dyDescent="0.25">
      <c r="A208" s="1" t="s">
        <v>171</v>
      </c>
      <c r="J208" t="str">
        <f t="shared" si="18"/>
        <v xml:space="preserve">        11.0        0.22      0.3218      0.1328      0.0890       0.091       0.960       0.999              </v>
      </c>
      <c r="S208">
        <v>11</v>
      </c>
      <c r="T208">
        <v>0.22</v>
      </c>
      <c r="U208">
        <v>0.32179999999999997</v>
      </c>
      <c r="V208">
        <v>0.1328</v>
      </c>
      <c r="W208">
        <v>8.8999999999999996E-2</v>
      </c>
      <c r="X208">
        <v>9.0999999999999998E-2</v>
      </c>
      <c r="Y208">
        <v>0.96</v>
      </c>
      <c r="Z208">
        <v>0.999</v>
      </c>
    </row>
    <row r="209" spans="1:26" x14ac:dyDescent="0.25">
      <c r="A209" s="1" t="s">
        <v>172</v>
      </c>
      <c r="J209" t="str">
        <f t="shared" si="18"/>
        <v xml:space="preserve">        13.2        0.26      0.3765      0.1328      0.0914       0.094       0.985       0.999              </v>
      </c>
      <c r="S209">
        <v>13.2</v>
      </c>
      <c r="T209">
        <v>0.26</v>
      </c>
      <c r="U209">
        <v>0.3765</v>
      </c>
      <c r="V209">
        <v>0.1328</v>
      </c>
      <c r="W209">
        <v>9.1399999999999995E-2</v>
      </c>
      <c r="X209">
        <v>9.4E-2</v>
      </c>
      <c r="Y209">
        <v>0.98499999999999999</v>
      </c>
      <c r="Z209">
        <v>0.999</v>
      </c>
    </row>
    <row r="210" spans="1:26" x14ac:dyDescent="0.25">
      <c r="A210" s="1" t="s">
        <v>173</v>
      </c>
      <c r="J210" t="str">
        <f t="shared" si="18"/>
        <v xml:space="preserve">        15.5        0.30      0.4279      0.1328      0.0938       0.096       1.010       0.999              </v>
      </c>
      <c r="S210">
        <v>15.5</v>
      </c>
      <c r="T210">
        <v>0.3</v>
      </c>
      <c r="U210">
        <v>0.4279</v>
      </c>
      <c r="V210">
        <v>0.1328</v>
      </c>
      <c r="W210">
        <v>9.3799999999999994E-2</v>
      </c>
      <c r="X210">
        <v>9.6000000000000002E-2</v>
      </c>
      <c r="Y210">
        <v>1.01</v>
      </c>
      <c r="Z210">
        <v>0.999</v>
      </c>
    </row>
    <row r="211" spans="1:26" x14ac:dyDescent="0.25">
      <c r="A211" s="1" t="s">
        <v>174</v>
      </c>
      <c r="J211" t="str">
        <f t="shared" si="18"/>
        <v xml:space="preserve">        17.7        0.35      0.4762      0.1326      0.0962       0.099       1.037       0.998              </v>
      </c>
      <c r="S211">
        <v>17.7</v>
      </c>
      <c r="T211">
        <v>0.35</v>
      </c>
      <c r="U211">
        <v>0.47620000000000001</v>
      </c>
      <c r="V211">
        <v>0.1326</v>
      </c>
      <c r="W211">
        <v>9.6199999999999994E-2</v>
      </c>
      <c r="X211">
        <v>9.9000000000000005E-2</v>
      </c>
      <c r="Y211">
        <v>1.0369999999999999</v>
      </c>
      <c r="Z211">
        <v>0.998</v>
      </c>
    </row>
    <row r="212" spans="1:26" x14ac:dyDescent="0.25">
      <c r="A212" s="1" t="s">
        <v>175</v>
      </c>
      <c r="J212" t="str">
        <f t="shared" si="18"/>
        <v xml:space="preserve">        19.9        0.39      0.5212      0.1324      0.0987       0.101       1.063       0.996              </v>
      </c>
      <c r="S212">
        <v>19.899999999999999</v>
      </c>
      <c r="T212">
        <v>0.39</v>
      </c>
      <c r="U212">
        <v>0.5212</v>
      </c>
      <c r="V212">
        <v>0.13239999999999999</v>
      </c>
      <c r="W212">
        <v>9.8699999999999996E-2</v>
      </c>
      <c r="X212">
        <v>0.10100000000000001</v>
      </c>
      <c r="Y212">
        <v>1.0629999999999999</v>
      </c>
      <c r="Z212">
        <v>0.996</v>
      </c>
    </row>
    <row r="213" spans="1:26" x14ac:dyDescent="0.25">
      <c r="A213" s="1" t="s">
        <v>176</v>
      </c>
      <c r="J213" t="str">
        <f t="shared" si="18"/>
        <v xml:space="preserve">        22.1        0.43      0.5632      0.1319      0.1011       0.104       1.090       0.993              </v>
      </c>
      <c r="S213">
        <v>22.1</v>
      </c>
      <c r="T213">
        <v>0.43</v>
      </c>
      <c r="U213">
        <v>0.56320000000000003</v>
      </c>
      <c r="V213">
        <v>0.13189999999999999</v>
      </c>
      <c r="W213">
        <v>0.1011</v>
      </c>
      <c r="X213">
        <v>0.104</v>
      </c>
      <c r="Y213">
        <v>1.0900000000000001</v>
      </c>
      <c r="Z213">
        <v>0.99299999999999999</v>
      </c>
    </row>
    <row r="214" spans="1:26" x14ac:dyDescent="0.25">
      <c r="A214" s="1" t="s">
        <v>177</v>
      </c>
      <c r="J214" t="str">
        <f t="shared" si="18"/>
        <v xml:space="preserve">        24.3        0.47      0.6022      0.1311      0.1034       0.106       1.114       0.987              </v>
      </c>
      <c r="S214">
        <v>24.3</v>
      </c>
      <c r="T214">
        <v>0.47</v>
      </c>
      <c r="U214">
        <v>0.60219999999999996</v>
      </c>
      <c r="V214">
        <v>0.13109999999999999</v>
      </c>
      <c r="W214">
        <v>0.10340000000000001</v>
      </c>
      <c r="X214">
        <v>0.106</v>
      </c>
      <c r="Y214">
        <v>1.1140000000000001</v>
      </c>
      <c r="Z214">
        <v>0.98699999999999999</v>
      </c>
    </row>
    <row r="215" spans="1:26" x14ac:dyDescent="0.25">
      <c r="A215" s="1" t="s">
        <v>178</v>
      </c>
      <c r="J215" t="str">
        <f t="shared" si="18"/>
        <v xml:space="preserve">        26.5        0.52      0.6383      0.1297      0.1053       0.108       1.135       0.976              </v>
      </c>
      <c r="S215">
        <v>26.5</v>
      </c>
      <c r="T215">
        <v>0.52</v>
      </c>
      <c r="U215">
        <v>0.63829999999999998</v>
      </c>
      <c r="V215">
        <v>0.12970000000000001</v>
      </c>
      <c r="W215">
        <v>0.1053</v>
      </c>
      <c r="X215">
        <v>0.108</v>
      </c>
      <c r="Y215">
        <v>1.135</v>
      </c>
      <c r="Z215">
        <v>0.97599999999999998</v>
      </c>
    </row>
    <row r="216" spans="1:26" x14ac:dyDescent="0.25">
      <c r="A216" s="1" t="s">
        <v>179</v>
      </c>
      <c r="J216" t="str">
        <f t="shared" si="18"/>
        <v xml:space="preserve">        28.7        0.56      0.6719      0.1271      0.1061       0.109       1.144       0.956              </v>
      </c>
      <c r="S216">
        <v>28.7</v>
      </c>
      <c r="T216">
        <v>0.56000000000000005</v>
      </c>
      <c r="U216">
        <v>0.67190000000000005</v>
      </c>
      <c r="V216">
        <v>0.12709999999999999</v>
      </c>
      <c r="W216">
        <v>0.1061</v>
      </c>
      <c r="X216">
        <v>0.109</v>
      </c>
      <c r="Y216">
        <v>1.1439999999999999</v>
      </c>
      <c r="Z216">
        <v>0.95599999999999996</v>
      </c>
    </row>
    <row r="217" spans="1:26" x14ac:dyDescent="0.25">
      <c r="A217" s="1" t="s">
        <v>180</v>
      </c>
      <c r="J217" t="str">
        <f t="shared" si="18"/>
        <v xml:space="preserve">        30.9        0.60      0.7025      0.1232      0.1059       0.109       1.142       0.927              </v>
      </c>
      <c r="S217">
        <v>30.9</v>
      </c>
      <c r="T217">
        <v>0.6</v>
      </c>
      <c r="U217">
        <v>0.70250000000000001</v>
      </c>
      <c r="V217">
        <v>0.1232</v>
      </c>
      <c r="W217">
        <v>0.10589999999999999</v>
      </c>
      <c r="X217">
        <v>0.109</v>
      </c>
      <c r="Y217">
        <v>1.1419999999999999</v>
      </c>
      <c r="Z217">
        <v>0.92700000000000005</v>
      </c>
    </row>
    <row r="218" spans="1:26" x14ac:dyDescent="0.25">
      <c r="A218" s="1" t="s">
        <v>181</v>
      </c>
      <c r="J218" t="str">
        <f t="shared" si="18"/>
        <v xml:space="preserve">        33.1        0.65      0.7299      0.1183      0.1049       0.108       1.131       0.890              </v>
      </c>
      <c r="S218">
        <v>33.1</v>
      </c>
      <c r="T218">
        <v>0.65</v>
      </c>
      <c r="U218">
        <v>0.72989999999999999</v>
      </c>
      <c r="V218">
        <v>0.1183</v>
      </c>
      <c r="W218">
        <v>0.10489999999999999</v>
      </c>
      <c r="X218">
        <v>0.108</v>
      </c>
      <c r="Y218">
        <v>1.131</v>
      </c>
      <c r="Z218">
        <v>0.89</v>
      </c>
    </row>
    <row r="219" spans="1:26" x14ac:dyDescent="0.25">
      <c r="A219" s="1" t="s">
        <v>182</v>
      </c>
      <c r="J219" t="str">
        <f t="shared" si="18"/>
        <v xml:space="preserve">        35.3        0.69      0.7543      0.1125      0.1030       0.106       1.110       0.846              </v>
      </c>
      <c r="S219">
        <v>35.299999999999997</v>
      </c>
      <c r="T219">
        <v>0.69</v>
      </c>
      <c r="U219">
        <v>0.75429999999999997</v>
      </c>
      <c r="V219">
        <v>0.1125</v>
      </c>
      <c r="W219">
        <v>0.10299999999999999</v>
      </c>
      <c r="X219">
        <v>0.106</v>
      </c>
      <c r="Y219">
        <v>1.1100000000000001</v>
      </c>
      <c r="Z219">
        <v>0.84599999999999997</v>
      </c>
    </row>
    <row r="220" spans="1:26" x14ac:dyDescent="0.25">
      <c r="A220" s="1" t="s">
        <v>183</v>
      </c>
      <c r="J220" t="str">
        <f t="shared" si="18"/>
        <v xml:space="preserve">        37.5        0.73      0.7758      0.1057      0.1000       0.103       1.077       0.795              </v>
      </c>
      <c r="S220">
        <v>37.5</v>
      </c>
      <c r="T220">
        <v>0.73</v>
      </c>
      <c r="U220">
        <v>0.77580000000000005</v>
      </c>
      <c r="V220">
        <v>0.1057</v>
      </c>
      <c r="W220">
        <v>0.1</v>
      </c>
      <c r="X220">
        <v>0.10299999999999999</v>
      </c>
      <c r="Y220">
        <v>1.077</v>
      </c>
      <c r="Z220">
        <v>0.79500000000000004</v>
      </c>
    </row>
    <row r="221" spans="1:26" x14ac:dyDescent="0.25">
      <c r="A221" s="1" t="s">
        <v>184</v>
      </c>
      <c r="J221" t="str">
        <f t="shared" si="18"/>
        <v xml:space="preserve">        39.7        0.78      0.7946      0.0978      0.0956       0.098       1.031       0.736              </v>
      </c>
      <c r="S221">
        <v>39.700000000000003</v>
      </c>
      <c r="T221">
        <v>0.78</v>
      </c>
      <c r="U221">
        <v>0.79459999999999997</v>
      </c>
      <c r="V221">
        <v>9.7799999999999998E-2</v>
      </c>
      <c r="W221">
        <v>9.5600000000000004E-2</v>
      </c>
      <c r="X221">
        <v>9.8000000000000004E-2</v>
      </c>
      <c r="Y221">
        <v>1.0309999999999999</v>
      </c>
      <c r="Z221">
        <v>0.73599999999999999</v>
      </c>
    </row>
    <row r="222" spans="1:26" x14ac:dyDescent="0.25">
      <c r="A222" s="1" t="s">
        <v>185</v>
      </c>
      <c r="J222" t="str">
        <f t="shared" si="18"/>
        <v xml:space="preserve">        41.9        0.82      0.8105      0.0898      0.0908       0.093       0.979       0.676              </v>
      </c>
      <c r="S222">
        <v>41.9</v>
      </c>
      <c r="T222">
        <v>0.82</v>
      </c>
      <c r="U222">
        <v>0.8105</v>
      </c>
      <c r="V222">
        <v>8.9800000000000005E-2</v>
      </c>
      <c r="W222">
        <v>9.0800000000000006E-2</v>
      </c>
      <c r="X222">
        <v>9.2999999999999999E-2</v>
      </c>
      <c r="Y222">
        <v>0.97899999999999998</v>
      </c>
      <c r="Z222">
        <v>0.67600000000000005</v>
      </c>
    </row>
    <row r="223" spans="1:26" x14ac:dyDescent="0.25">
      <c r="A223" s="1" t="s">
        <v>186</v>
      </c>
      <c r="J223" t="str">
        <f t="shared" si="18"/>
        <v xml:space="preserve">        44.1        0.86      0.8237      0.0816      0.0855       0.088       0.922       0.614              </v>
      </c>
      <c r="S223">
        <v>44.1</v>
      </c>
      <c r="T223">
        <v>0.86</v>
      </c>
      <c r="U223">
        <v>0.82369999999999999</v>
      </c>
      <c r="V223">
        <v>8.1600000000000006E-2</v>
      </c>
      <c r="W223">
        <v>8.5500000000000007E-2</v>
      </c>
      <c r="X223">
        <v>8.7999999999999995E-2</v>
      </c>
      <c r="Y223">
        <v>0.92200000000000004</v>
      </c>
      <c r="Z223">
        <v>0.61399999999999999</v>
      </c>
    </row>
    <row r="224" spans="1:26" x14ac:dyDescent="0.25">
      <c r="A224" s="1" t="s">
        <v>187</v>
      </c>
      <c r="J224" t="str">
        <f t="shared" si="18"/>
        <v xml:space="preserve">        46.4        0.91      0.8345      0.0734      0.0797       0.082       0.859       0.552              </v>
      </c>
      <c r="S224">
        <v>46.4</v>
      </c>
      <c r="T224">
        <v>0.91</v>
      </c>
      <c r="U224">
        <v>0.83450000000000002</v>
      </c>
      <c r="V224">
        <v>7.3400000000000007E-2</v>
      </c>
      <c r="W224">
        <v>7.9699999999999993E-2</v>
      </c>
      <c r="X224">
        <v>8.2000000000000003E-2</v>
      </c>
      <c r="Y224">
        <v>0.85899999999999999</v>
      </c>
      <c r="Z224">
        <v>0.55200000000000005</v>
      </c>
    </row>
    <row r="225" spans="1:29" x14ac:dyDescent="0.25">
      <c r="A225" s="1" t="s">
        <v>188</v>
      </c>
      <c r="J225" t="str">
        <f t="shared" si="18"/>
        <v xml:space="preserve">        48.6        0.95      0.8436      0.0649      0.0731       0.075       0.787       0.488              </v>
      </c>
      <c r="S225">
        <v>48.6</v>
      </c>
      <c r="T225">
        <v>0.95</v>
      </c>
      <c r="U225">
        <v>0.84360000000000002</v>
      </c>
      <c r="V225">
        <v>6.4899999999999999E-2</v>
      </c>
      <c r="W225">
        <v>7.3099999999999998E-2</v>
      </c>
      <c r="X225">
        <v>7.4999999999999997E-2</v>
      </c>
      <c r="Y225">
        <v>0.78700000000000003</v>
      </c>
      <c r="Z225">
        <v>0.48799999999999999</v>
      </c>
    </row>
    <row r="226" spans="1:29" x14ac:dyDescent="0.25">
      <c r="A226" s="1" t="s">
        <v>189</v>
      </c>
      <c r="J226" t="str">
        <f t="shared" si="18"/>
        <v xml:space="preserve">        50.8        0.99      0.8509      0.0562      0.0656       0.067       0.707       0.423              </v>
      </c>
      <c r="S226">
        <v>50.8</v>
      </c>
      <c r="T226">
        <v>0.99</v>
      </c>
      <c r="U226">
        <v>0.85089999999999999</v>
      </c>
      <c r="V226">
        <v>5.62E-2</v>
      </c>
      <c r="W226">
        <v>6.5600000000000006E-2</v>
      </c>
      <c r="X226">
        <v>6.7000000000000004E-2</v>
      </c>
      <c r="Y226">
        <v>0.70699999999999996</v>
      </c>
      <c r="Z226">
        <v>0.42299999999999999</v>
      </c>
    </row>
    <row r="227" spans="1:29" x14ac:dyDescent="0.25">
      <c r="A227" s="1" t="s">
        <v>190</v>
      </c>
      <c r="J227" t="str">
        <f t="shared" si="18"/>
        <v xml:space="preserve">        53.0        1.04      0.8556      0.0473      0.0573       0.059       0.617       0.356              </v>
      </c>
      <c r="S227">
        <v>53</v>
      </c>
      <c r="T227">
        <v>1.04</v>
      </c>
      <c r="U227">
        <v>0.85560000000000003</v>
      </c>
      <c r="V227">
        <v>4.7300000000000002E-2</v>
      </c>
      <c r="W227">
        <v>5.7299999999999997E-2</v>
      </c>
      <c r="X227">
        <v>5.8999999999999997E-2</v>
      </c>
      <c r="Y227">
        <v>0.61699999999999999</v>
      </c>
      <c r="Z227">
        <v>0.35599999999999998</v>
      </c>
    </row>
    <row r="228" spans="1:29" x14ac:dyDescent="0.25">
      <c r="A228" s="1" t="s">
        <v>191</v>
      </c>
      <c r="J228" t="str">
        <f t="shared" si="18"/>
        <v xml:space="preserve">        55.2        1.08      0.8571      0.0382      0.0481       0.049       0.518       0.287              </v>
      </c>
      <c r="S228">
        <v>55.2</v>
      </c>
      <c r="T228">
        <v>1.08</v>
      </c>
      <c r="U228">
        <v>0.85709999999999997</v>
      </c>
      <c r="V228">
        <v>3.8199999999999998E-2</v>
      </c>
      <c r="W228">
        <v>4.8099999999999997E-2</v>
      </c>
      <c r="X228">
        <v>4.9000000000000002E-2</v>
      </c>
      <c r="Y228">
        <v>0.51800000000000002</v>
      </c>
      <c r="Z228">
        <v>0.28699999999999998</v>
      </c>
    </row>
    <row r="229" spans="1:29" x14ac:dyDescent="0.25">
      <c r="A229" s="1" t="s">
        <v>192</v>
      </c>
      <c r="J229" t="str">
        <f t="shared" si="18"/>
        <v xml:space="preserve">        57.4        1.12      0.8496      0.0289      0.0381       0.039       0.411       0.217              </v>
      </c>
      <c r="S229">
        <v>57.4</v>
      </c>
      <c r="T229">
        <v>1.1200000000000001</v>
      </c>
      <c r="U229">
        <v>0.84960000000000002</v>
      </c>
      <c r="V229">
        <v>2.8899999999999999E-2</v>
      </c>
      <c r="W229">
        <v>3.8100000000000002E-2</v>
      </c>
      <c r="X229">
        <v>3.9E-2</v>
      </c>
      <c r="Y229">
        <v>0.41099999999999998</v>
      </c>
      <c r="Z229">
        <v>0.217</v>
      </c>
    </row>
    <row r="230" spans="1:29" x14ac:dyDescent="0.25">
      <c r="A230" s="1" t="s">
        <v>193</v>
      </c>
      <c r="J230" t="str">
        <f t="shared" si="18"/>
        <v xml:space="preserve">        59.6        1.17      0.8224      0.0194      0.0275       0.028       0.296       0.146              </v>
      </c>
      <c r="S230">
        <v>59.6</v>
      </c>
      <c r="T230">
        <v>1.17</v>
      </c>
      <c r="U230">
        <v>0.82240000000000002</v>
      </c>
      <c r="V230">
        <v>1.9400000000000001E-2</v>
      </c>
      <c r="W230">
        <v>2.75E-2</v>
      </c>
      <c r="X230">
        <v>2.8000000000000001E-2</v>
      </c>
      <c r="Y230">
        <v>0.29599999999999999</v>
      </c>
      <c r="Z230">
        <v>0.14599999999999999</v>
      </c>
    </row>
    <row r="231" spans="1:29" x14ac:dyDescent="0.25">
      <c r="A231" s="1" t="s">
        <v>194</v>
      </c>
      <c r="J231" t="str">
        <f t="shared" si="18"/>
        <v xml:space="preserve">        61.8        1.21      0.7321      0.0098      0.0161       0.017       0.174       0.073              </v>
      </c>
      <c r="S231">
        <v>61.8</v>
      </c>
      <c r="T231">
        <v>1.21</v>
      </c>
      <c r="U231">
        <v>0.73209999999999997</v>
      </c>
      <c r="V231">
        <v>9.7999999999999997E-3</v>
      </c>
      <c r="W231">
        <v>1.61E-2</v>
      </c>
      <c r="X231">
        <v>1.7000000000000001E-2</v>
      </c>
      <c r="Y231">
        <v>0.17399999999999999</v>
      </c>
      <c r="Z231">
        <v>7.2999999999999995E-2</v>
      </c>
    </row>
    <row r="232" spans="1:29" x14ac:dyDescent="0.25">
      <c r="A232" s="1" t="s">
        <v>195</v>
      </c>
      <c r="J232" t="str">
        <f t="shared" si="18"/>
        <v xml:space="preserve">        64.0        1.25      0.0015      0.0000      0.0047       0.005       0.051       0.000              </v>
      </c>
      <c r="S232">
        <v>64</v>
      </c>
      <c r="T232">
        <v>1.25</v>
      </c>
      <c r="U232">
        <v>1.5E-3</v>
      </c>
      <c r="V232">
        <v>0</v>
      </c>
      <c r="W232">
        <v>4.7000000000000002E-3</v>
      </c>
      <c r="X232">
        <v>5.0000000000000001E-3</v>
      </c>
      <c r="Y232">
        <v>5.0999999999999997E-2</v>
      </c>
      <c r="Z232">
        <v>0</v>
      </c>
    </row>
    <row r="233" spans="1:29" x14ac:dyDescent="0.25">
      <c r="A233" s="1" t="s">
        <v>1</v>
      </c>
    </row>
    <row r="234" spans="1:29" x14ac:dyDescent="0.25">
      <c r="A234" s="1" t="s">
        <v>1</v>
      </c>
    </row>
    <row r="235" spans="1:29" x14ac:dyDescent="0.25">
      <c r="A235" s="1" t="s">
        <v>1</v>
      </c>
    </row>
    <row r="236" spans="1:29" x14ac:dyDescent="0.25">
      <c r="A236" s="1" t="s">
        <v>196</v>
      </c>
      <c r="S236">
        <v>7000</v>
      </c>
      <c r="AC236" t="str">
        <f>CONCATENATE($V$16,$AC$13,S236)</f>
        <v>Ct@7000</v>
      </c>
    </row>
    <row r="237" spans="1:29" x14ac:dyDescent="0.25">
      <c r="A237" s="1" t="s">
        <v>1</v>
      </c>
    </row>
    <row r="238" spans="1:29" x14ac:dyDescent="0.25">
      <c r="A238" s="1" t="s">
        <v>9</v>
      </c>
      <c r="J238" t="str">
        <f>A238</f>
        <v xml:space="preserve">         V          J           Pe         Ct          Cp          PWR         Torque      Thrust             </v>
      </c>
      <c r="S238" t="s">
        <v>662</v>
      </c>
      <c r="T238" t="s">
        <v>663</v>
      </c>
      <c r="U238" t="s">
        <v>664</v>
      </c>
      <c r="V238" t="s">
        <v>665</v>
      </c>
      <c r="W238" t="s">
        <v>666</v>
      </c>
      <c r="X238" t="s">
        <v>667</v>
      </c>
      <c r="Y238" t="s">
        <v>668</v>
      </c>
      <c r="Z238" t="s">
        <v>669</v>
      </c>
    </row>
    <row r="239" spans="1:29" x14ac:dyDescent="0.25">
      <c r="A239" s="1" t="s">
        <v>10</v>
      </c>
      <c r="J239" t="str">
        <f t="shared" ref="J239:J269" si="19">A239</f>
        <v xml:space="preserve">       (mph)     (Adv Ratio)                                       (Hp)        (In-Lbf)     (Lbf)             </v>
      </c>
      <c r="S239" t="s">
        <v>670</v>
      </c>
      <c r="T239" t="s">
        <v>671</v>
      </c>
      <c r="X239" t="s">
        <v>672</v>
      </c>
      <c r="Y239" t="s">
        <v>673</v>
      </c>
      <c r="Z239" t="s">
        <v>674</v>
      </c>
    </row>
    <row r="240" spans="1:29" x14ac:dyDescent="0.25">
      <c r="A240" s="1" t="s">
        <v>197</v>
      </c>
      <c r="J240" t="str">
        <f t="shared" si="19"/>
        <v xml:space="preserve">         0.0        0.00      0.0000      0.1316      0.0749       0.122       1.099       1.347              </v>
      </c>
      <c r="S240">
        <v>0</v>
      </c>
      <c r="T240">
        <v>0</v>
      </c>
      <c r="U240">
        <v>0</v>
      </c>
      <c r="V240">
        <v>0.13159999999999999</v>
      </c>
      <c r="W240">
        <v>7.4899999999999994E-2</v>
      </c>
      <c r="X240">
        <v>0.122</v>
      </c>
      <c r="Y240">
        <v>1.099</v>
      </c>
      <c r="Z240">
        <v>1.347</v>
      </c>
    </row>
    <row r="241" spans="1:26" x14ac:dyDescent="0.25">
      <c r="A241" s="1" t="s">
        <v>198</v>
      </c>
      <c r="J241" t="str">
        <f t="shared" si="19"/>
        <v xml:space="preserve">         2.6        0.04      0.0738      0.1317      0.0770       0.125       1.129       1.349              </v>
      </c>
      <c r="S241">
        <v>2.6</v>
      </c>
      <c r="T241">
        <v>0.04</v>
      </c>
      <c r="U241">
        <v>7.3800000000000004E-2</v>
      </c>
      <c r="V241">
        <v>0.13170000000000001</v>
      </c>
      <c r="W241">
        <v>7.6999999999999999E-2</v>
      </c>
      <c r="X241">
        <v>0.125</v>
      </c>
      <c r="Y241">
        <v>1.129</v>
      </c>
      <c r="Z241">
        <v>1.349</v>
      </c>
    </row>
    <row r="242" spans="1:26" x14ac:dyDescent="0.25">
      <c r="A242" s="1" t="s">
        <v>199</v>
      </c>
      <c r="J242" t="str">
        <f t="shared" si="19"/>
        <v xml:space="preserve">         5.1        0.09      0.1438      0.1320      0.0792       0.129       1.161       1.351              </v>
      </c>
      <c r="S242">
        <v>5.0999999999999996</v>
      </c>
      <c r="T242">
        <v>0.09</v>
      </c>
      <c r="U242">
        <v>0.14380000000000001</v>
      </c>
      <c r="V242">
        <v>0.13200000000000001</v>
      </c>
      <c r="W242">
        <v>7.9200000000000007E-2</v>
      </c>
      <c r="X242">
        <v>0.129</v>
      </c>
      <c r="Y242">
        <v>1.161</v>
      </c>
      <c r="Z242">
        <v>1.351</v>
      </c>
    </row>
    <row r="243" spans="1:26" x14ac:dyDescent="0.25">
      <c r="A243" s="1" t="s">
        <v>200</v>
      </c>
      <c r="J243" t="str">
        <f t="shared" si="19"/>
        <v xml:space="preserve">         7.7        0.13      0.2100      0.1321      0.0815       0.133       1.195       1.353              </v>
      </c>
      <c r="S243">
        <v>7.7</v>
      </c>
      <c r="T243">
        <v>0.13</v>
      </c>
      <c r="U243">
        <v>0.21</v>
      </c>
      <c r="V243">
        <v>0.1321</v>
      </c>
      <c r="W243">
        <v>8.1500000000000003E-2</v>
      </c>
      <c r="X243">
        <v>0.13300000000000001</v>
      </c>
      <c r="Y243">
        <v>1.1950000000000001</v>
      </c>
      <c r="Z243">
        <v>1.353</v>
      </c>
    </row>
    <row r="244" spans="1:26" x14ac:dyDescent="0.25">
      <c r="A244" s="1" t="s">
        <v>201</v>
      </c>
      <c r="J244" t="str">
        <f t="shared" si="19"/>
        <v xml:space="preserve">        10.3        0.17      0.2724      0.1323      0.0838       0.137       1.230       1.355              </v>
      </c>
      <c r="S244">
        <v>10.3</v>
      </c>
      <c r="T244">
        <v>0.17</v>
      </c>
      <c r="U244">
        <v>0.27239999999999998</v>
      </c>
      <c r="V244">
        <v>0.1323</v>
      </c>
      <c r="W244">
        <v>8.3799999999999999E-2</v>
      </c>
      <c r="X244">
        <v>0.13700000000000001</v>
      </c>
      <c r="Y244">
        <v>1.23</v>
      </c>
      <c r="Z244">
        <v>1.355</v>
      </c>
    </row>
    <row r="245" spans="1:26" x14ac:dyDescent="0.25">
      <c r="A245" s="1" t="s">
        <v>202</v>
      </c>
      <c r="J245" t="str">
        <f t="shared" si="19"/>
        <v xml:space="preserve">        12.9        0.22      0.3310      0.1324      0.0863       0.141       1.266       1.356              </v>
      </c>
      <c r="S245">
        <v>12.9</v>
      </c>
      <c r="T245">
        <v>0.22</v>
      </c>
      <c r="U245">
        <v>0.33100000000000002</v>
      </c>
      <c r="V245">
        <v>0.13239999999999999</v>
      </c>
      <c r="W245">
        <v>8.6300000000000002E-2</v>
      </c>
      <c r="X245">
        <v>0.14099999999999999</v>
      </c>
      <c r="Y245">
        <v>1.266</v>
      </c>
      <c r="Z245">
        <v>1.3560000000000001</v>
      </c>
    </row>
    <row r="246" spans="1:26" x14ac:dyDescent="0.25">
      <c r="A246" s="1" t="s">
        <v>203</v>
      </c>
      <c r="J246" t="str">
        <f t="shared" si="19"/>
        <v xml:space="preserve">        15.4        0.26      0.3858      0.1324      0.0889       0.145       1.304       1.356              </v>
      </c>
      <c r="S246">
        <v>15.4</v>
      </c>
      <c r="T246">
        <v>0.26</v>
      </c>
      <c r="U246">
        <v>0.38579999999999998</v>
      </c>
      <c r="V246">
        <v>0.13239999999999999</v>
      </c>
      <c r="W246">
        <v>8.8900000000000007E-2</v>
      </c>
      <c r="X246">
        <v>0.14499999999999999</v>
      </c>
      <c r="Y246">
        <v>1.304</v>
      </c>
      <c r="Z246">
        <v>1.3560000000000001</v>
      </c>
    </row>
    <row r="247" spans="1:26" x14ac:dyDescent="0.25">
      <c r="A247" s="1" t="s">
        <v>204</v>
      </c>
      <c r="J247" t="str">
        <f t="shared" si="19"/>
        <v xml:space="preserve">        18.0        0.30      0.4371      0.1324      0.0915       0.149       1.342       1.356              </v>
      </c>
      <c r="S247">
        <v>18</v>
      </c>
      <c r="T247">
        <v>0.3</v>
      </c>
      <c r="U247">
        <v>0.43709999999999999</v>
      </c>
      <c r="V247">
        <v>0.13239999999999999</v>
      </c>
      <c r="W247">
        <v>9.1499999999999998E-2</v>
      </c>
      <c r="X247">
        <v>0.14899999999999999</v>
      </c>
      <c r="Y247">
        <v>1.3420000000000001</v>
      </c>
      <c r="Z247">
        <v>1.3560000000000001</v>
      </c>
    </row>
    <row r="248" spans="1:26" x14ac:dyDescent="0.25">
      <c r="A248" s="1" t="s">
        <v>205</v>
      </c>
      <c r="J248" t="str">
        <f t="shared" si="19"/>
        <v xml:space="preserve">        20.6        0.35      0.4850      0.1323      0.0942       0.153       1.382       1.355              </v>
      </c>
      <c r="S248">
        <v>20.6</v>
      </c>
      <c r="T248">
        <v>0.35</v>
      </c>
      <c r="U248">
        <v>0.48499999999999999</v>
      </c>
      <c r="V248">
        <v>0.1323</v>
      </c>
      <c r="W248">
        <v>9.4200000000000006E-2</v>
      </c>
      <c r="X248">
        <v>0.153</v>
      </c>
      <c r="Y248">
        <v>1.3819999999999999</v>
      </c>
      <c r="Z248">
        <v>1.355</v>
      </c>
    </row>
    <row r="249" spans="1:26" x14ac:dyDescent="0.25">
      <c r="A249" s="1" t="s">
        <v>206</v>
      </c>
      <c r="J249" t="str">
        <f t="shared" si="19"/>
        <v xml:space="preserve">        23.2        0.39      0.5293      0.1321      0.0969       0.158       1.422       1.353              </v>
      </c>
      <c r="S249">
        <v>23.2</v>
      </c>
      <c r="T249">
        <v>0.39</v>
      </c>
      <c r="U249">
        <v>0.52929999999999999</v>
      </c>
      <c r="V249">
        <v>0.1321</v>
      </c>
      <c r="W249">
        <v>9.69E-2</v>
      </c>
      <c r="X249">
        <v>0.158</v>
      </c>
      <c r="Y249">
        <v>1.4219999999999999</v>
      </c>
      <c r="Z249">
        <v>1.353</v>
      </c>
    </row>
    <row r="250" spans="1:26" x14ac:dyDescent="0.25">
      <c r="A250" s="1" t="s">
        <v>207</v>
      </c>
      <c r="J250" t="str">
        <f t="shared" si="19"/>
        <v xml:space="preserve">        25.7        0.43      0.5705      0.1317      0.0996       0.162       1.461       1.349              </v>
      </c>
      <c r="S250">
        <v>25.7</v>
      </c>
      <c r="T250">
        <v>0.43</v>
      </c>
      <c r="U250">
        <v>0.57050000000000001</v>
      </c>
      <c r="V250">
        <v>0.13170000000000001</v>
      </c>
      <c r="W250">
        <v>9.9599999999999994E-2</v>
      </c>
      <c r="X250">
        <v>0.16200000000000001</v>
      </c>
      <c r="Y250">
        <v>1.4610000000000001</v>
      </c>
      <c r="Z250">
        <v>1.349</v>
      </c>
    </row>
    <row r="251" spans="1:26" x14ac:dyDescent="0.25">
      <c r="A251" s="1" t="s">
        <v>208</v>
      </c>
      <c r="J251" t="str">
        <f t="shared" si="19"/>
        <v xml:space="preserve">        28.3        0.47      0.6086      0.1310      0.1022       0.166       1.499       1.342              </v>
      </c>
      <c r="S251">
        <v>28.3</v>
      </c>
      <c r="T251">
        <v>0.47</v>
      </c>
      <c r="U251">
        <v>0.60860000000000003</v>
      </c>
      <c r="V251">
        <v>0.13100000000000001</v>
      </c>
      <c r="W251">
        <v>0.1022</v>
      </c>
      <c r="X251">
        <v>0.16600000000000001</v>
      </c>
      <c r="Y251">
        <v>1.4990000000000001</v>
      </c>
      <c r="Z251">
        <v>1.3420000000000001</v>
      </c>
    </row>
    <row r="252" spans="1:26" x14ac:dyDescent="0.25">
      <c r="A252" s="1" t="s">
        <v>209</v>
      </c>
      <c r="J252" t="str">
        <f t="shared" si="19"/>
        <v xml:space="preserve">        30.9        0.52      0.6438      0.1297      0.1043       0.170       1.530       1.328              </v>
      </c>
      <c r="S252">
        <v>30.9</v>
      </c>
      <c r="T252">
        <v>0.52</v>
      </c>
      <c r="U252">
        <v>0.64380000000000004</v>
      </c>
      <c r="V252">
        <v>0.12970000000000001</v>
      </c>
      <c r="W252">
        <v>0.1043</v>
      </c>
      <c r="X252">
        <v>0.17</v>
      </c>
      <c r="Y252">
        <v>1.53</v>
      </c>
      <c r="Z252">
        <v>1.3280000000000001</v>
      </c>
    </row>
    <row r="253" spans="1:26" x14ac:dyDescent="0.25">
      <c r="A253" s="1" t="s">
        <v>210</v>
      </c>
      <c r="J253" t="str">
        <f t="shared" si="19"/>
        <v xml:space="preserve">        33.5        0.56      0.6765      0.1271      0.1054       0.172       1.546       1.302              </v>
      </c>
      <c r="S253">
        <v>33.5</v>
      </c>
      <c r="T253">
        <v>0.56000000000000005</v>
      </c>
      <c r="U253">
        <v>0.67649999999999999</v>
      </c>
      <c r="V253">
        <v>0.12709999999999999</v>
      </c>
      <c r="W253">
        <v>0.10539999999999999</v>
      </c>
      <c r="X253">
        <v>0.17199999999999999</v>
      </c>
      <c r="Y253">
        <v>1.546</v>
      </c>
      <c r="Z253">
        <v>1.302</v>
      </c>
    </row>
    <row r="254" spans="1:26" x14ac:dyDescent="0.25">
      <c r="A254" s="1" t="s">
        <v>211</v>
      </c>
      <c r="J254" t="str">
        <f t="shared" si="19"/>
        <v xml:space="preserve">        36.0        0.60      0.7065      0.1233      0.1054       0.172       1.547       1.263              </v>
      </c>
      <c r="S254">
        <v>36</v>
      </c>
      <c r="T254">
        <v>0.6</v>
      </c>
      <c r="U254">
        <v>0.70650000000000002</v>
      </c>
      <c r="V254">
        <v>0.12330000000000001</v>
      </c>
      <c r="W254">
        <v>0.10539999999999999</v>
      </c>
      <c r="X254">
        <v>0.17199999999999999</v>
      </c>
      <c r="Y254">
        <v>1.5469999999999999</v>
      </c>
      <c r="Z254">
        <v>1.2629999999999999</v>
      </c>
    </row>
    <row r="255" spans="1:26" x14ac:dyDescent="0.25">
      <c r="A255" s="1" t="s">
        <v>212</v>
      </c>
      <c r="J255" t="str">
        <f t="shared" si="19"/>
        <v xml:space="preserve">        38.6        0.65      0.7335      0.1185      0.1045       0.170       1.533       1.213              </v>
      </c>
      <c r="S255">
        <v>38.6</v>
      </c>
      <c r="T255">
        <v>0.65</v>
      </c>
      <c r="U255">
        <v>0.73350000000000004</v>
      </c>
      <c r="V255">
        <v>0.11849999999999999</v>
      </c>
      <c r="W255">
        <v>0.1045</v>
      </c>
      <c r="X255">
        <v>0.17</v>
      </c>
      <c r="Y255">
        <v>1.5329999999999999</v>
      </c>
      <c r="Z255">
        <v>1.2130000000000001</v>
      </c>
    </row>
    <row r="256" spans="1:26" x14ac:dyDescent="0.25">
      <c r="A256" s="1" t="s">
        <v>213</v>
      </c>
      <c r="J256" t="str">
        <f t="shared" si="19"/>
        <v xml:space="preserve">        41.2        0.69      0.7578      0.1127      0.1027       0.167       1.506       1.154              </v>
      </c>
      <c r="S256">
        <v>41.2</v>
      </c>
      <c r="T256">
        <v>0.69</v>
      </c>
      <c r="U256">
        <v>0.75780000000000003</v>
      </c>
      <c r="V256">
        <v>0.11269999999999999</v>
      </c>
      <c r="W256">
        <v>0.1027</v>
      </c>
      <c r="X256">
        <v>0.16700000000000001</v>
      </c>
      <c r="Y256">
        <v>1.506</v>
      </c>
      <c r="Z256">
        <v>1.1539999999999999</v>
      </c>
    </row>
    <row r="257" spans="1:26" x14ac:dyDescent="0.25">
      <c r="A257" s="1" t="s">
        <v>214</v>
      </c>
      <c r="J257" t="str">
        <f t="shared" si="19"/>
        <v xml:space="preserve">        43.8        0.73      0.7797      0.1060      0.0997       0.162       1.462       1.085              </v>
      </c>
      <c r="S257">
        <v>43.8</v>
      </c>
      <c r="T257">
        <v>0.73</v>
      </c>
      <c r="U257">
        <v>0.77969999999999995</v>
      </c>
      <c r="V257">
        <v>0.106</v>
      </c>
      <c r="W257">
        <v>9.9699999999999997E-2</v>
      </c>
      <c r="X257">
        <v>0.16200000000000001</v>
      </c>
      <c r="Y257">
        <v>1.462</v>
      </c>
      <c r="Z257">
        <v>1.085</v>
      </c>
    </row>
    <row r="258" spans="1:26" x14ac:dyDescent="0.25">
      <c r="A258" s="1" t="s">
        <v>215</v>
      </c>
      <c r="J258" t="str">
        <f t="shared" si="19"/>
        <v xml:space="preserve">        46.3        0.78      0.7993      0.0981      0.0953       0.155       1.398       1.004              </v>
      </c>
      <c r="S258">
        <v>46.3</v>
      </c>
      <c r="T258">
        <v>0.78</v>
      </c>
      <c r="U258">
        <v>0.79930000000000001</v>
      </c>
      <c r="V258">
        <v>9.8100000000000007E-2</v>
      </c>
      <c r="W258">
        <v>9.5299999999999996E-2</v>
      </c>
      <c r="X258">
        <v>0.155</v>
      </c>
      <c r="Y258">
        <v>1.3979999999999999</v>
      </c>
      <c r="Z258">
        <v>1.004</v>
      </c>
    </row>
    <row r="259" spans="1:26" x14ac:dyDescent="0.25">
      <c r="A259" s="1" t="s">
        <v>216</v>
      </c>
      <c r="J259" t="str">
        <f t="shared" si="19"/>
        <v xml:space="preserve">        48.9        0.82      0.8162      0.0900      0.0904       0.147       1.326       0.922              </v>
      </c>
      <c r="S259">
        <v>48.9</v>
      </c>
      <c r="T259">
        <v>0.82</v>
      </c>
      <c r="U259">
        <v>0.81620000000000004</v>
      </c>
      <c r="V259">
        <v>0.09</v>
      </c>
      <c r="W259">
        <v>9.0399999999999994E-2</v>
      </c>
      <c r="X259">
        <v>0.14699999999999999</v>
      </c>
      <c r="Y259">
        <v>1.3260000000000001</v>
      </c>
      <c r="Z259">
        <v>0.92200000000000004</v>
      </c>
    </row>
    <row r="260" spans="1:26" x14ac:dyDescent="0.25">
      <c r="A260" s="1" t="s">
        <v>217</v>
      </c>
      <c r="J260" t="str">
        <f t="shared" si="19"/>
        <v xml:space="preserve">        51.5        0.86      0.8306      0.0818      0.0850       0.138       1.247       0.838              </v>
      </c>
      <c r="S260">
        <v>51.5</v>
      </c>
      <c r="T260">
        <v>0.86</v>
      </c>
      <c r="U260">
        <v>0.8306</v>
      </c>
      <c r="V260">
        <v>8.1799999999999998E-2</v>
      </c>
      <c r="W260">
        <v>8.5000000000000006E-2</v>
      </c>
      <c r="X260">
        <v>0.13800000000000001</v>
      </c>
      <c r="Y260">
        <v>1.2470000000000001</v>
      </c>
      <c r="Z260">
        <v>0.83799999999999997</v>
      </c>
    </row>
    <row r="261" spans="1:26" x14ac:dyDescent="0.25">
      <c r="A261" s="1" t="s">
        <v>218</v>
      </c>
      <c r="J261" t="str">
        <f t="shared" si="19"/>
        <v xml:space="preserve">        54.1        0.91      0.8425      0.0735      0.0790       0.129       1.159       0.752              </v>
      </c>
      <c r="S261">
        <v>54.1</v>
      </c>
      <c r="T261">
        <v>0.91</v>
      </c>
      <c r="U261">
        <v>0.84250000000000003</v>
      </c>
      <c r="V261">
        <v>7.3499999999999996E-2</v>
      </c>
      <c r="W261">
        <v>7.9000000000000001E-2</v>
      </c>
      <c r="X261">
        <v>0.129</v>
      </c>
      <c r="Y261">
        <v>1.159</v>
      </c>
      <c r="Z261">
        <v>0.752</v>
      </c>
    </row>
    <row r="262" spans="1:26" x14ac:dyDescent="0.25">
      <c r="A262" s="1" t="s">
        <v>219</v>
      </c>
      <c r="J262" t="str">
        <f t="shared" si="19"/>
        <v xml:space="preserve">        56.6        0.95      0.8526      0.0649      0.0723       0.118       1.061       0.665              </v>
      </c>
      <c r="S262">
        <v>56.6</v>
      </c>
      <c r="T262">
        <v>0.95</v>
      </c>
      <c r="U262">
        <v>0.85260000000000002</v>
      </c>
      <c r="V262">
        <v>6.4899999999999999E-2</v>
      </c>
      <c r="W262">
        <v>7.2300000000000003E-2</v>
      </c>
      <c r="X262">
        <v>0.11799999999999999</v>
      </c>
      <c r="Y262">
        <v>1.0609999999999999</v>
      </c>
      <c r="Z262">
        <v>0.66500000000000004</v>
      </c>
    </row>
    <row r="263" spans="1:26" x14ac:dyDescent="0.25">
      <c r="A263" s="1" t="s">
        <v>220</v>
      </c>
      <c r="J263" t="str">
        <f t="shared" si="19"/>
        <v xml:space="preserve">        59.2        0.99      0.8602      0.0562      0.0648       0.106       0.951       0.576              </v>
      </c>
      <c r="S263">
        <v>59.2</v>
      </c>
      <c r="T263">
        <v>0.99</v>
      </c>
      <c r="U263">
        <v>0.86019999999999996</v>
      </c>
      <c r="V263">
        <v>5.62E-2</v>
      </c>
      <c r="W263">
        <v>6.4799999999999996E-2</v>
      </c>
      <c r="X263">
        <v>0.106</v>
      </c>
      <c r="Y263">
        <v>0.95099999999999996</v>
      </c>
      <c r="Z263">
        <v>0.57599999999999996</v>
      </c>
    </row>
    <row r="264" spans="1:26" x14ac:dyDescent="0.25">
      <c r="A264" s="1" t="s">
        <v>221</v>
      </c>
      <c r="J264" t="str">
        <f t="shared" si="19"/>
        <v xml:space="preserve">        61.8        1.04      0.8651      0.0473      0.0566       0.092       0.831       0.484              </v>
      </c>
      <c r="S264">
        <v>61.8</v>
      </c>
      <c r="T264">
        <v>1.04</v>
      </c>
      <c r="U264">
        <v>0.86509999999999998</v>
      </c>
      <c r="V264">
        <v>4.7300000000000002E-2</v>
      </c>
      <c r="W264">
        <v>5.6599999999999998E-2</v>
      </c>
      <c r="X264">
        <v>9.1999999999999998E-2</v>
      </c>
      <c r="Y264">
        <v>0.83099999999999996</v>
      </c>
      <c r="Z264">
        <v>0.48399999999999999</v>
      </c>
    </row>
    <row r="265" spans="1:26" x14ac:dyDescent="0.25">
      <c r="A265" s="1" t="s">
        <v>222</v>
      </c>
      <c r="J265" t="str">
        <f t="shared" si="19"/>
        <v xml:space="preserve">        64.4        1.08      0.8665      0.0382      0.0476       0.077       0.698       0.391              </v>
      </c>
      <c r="S265">
        <v>64.400000000000006</v>
      </c>
      <c r="T265">
        <v>1.08</v>
      </c>
      <c r="U265">
        <v>0.86650000000000005</v>
      </c>
      <c r="V265">
        <v>3.8199999999999998E-2</v>
      </c>
      <c r="W265">
        <v>4.7600000000000003E-2</v>
      </c>
      <c r="X265">
        <v>7.6999999999999999E-2</v>
      </c>
      <c r="Y265">
        <v>0.69799999999999995</v>
      </c>
      <c r="Z265">
        <v>0.39100000000000001</v>
      </c>
    </row>
    <row r="266" spans="1:26" x14ac:dyDescent="0.25">
      <c r="A266" s="1" t="s">
        <v>223</v>
      </c>
      <c r="J266" t="str">
        <f t="shared" si="19"/>
        <v xml:space="preserve">        66.9        1.12      0.8585      0.0289      0.0377       0.062       0.554       0.296              </v>
      </c>
      <c r="S266">
        <v>66.900000000000006</v>
      </c>
      <c r="T266">
        <v>1.1200000000000001</v>
      </c>
      <c r="U266">
        <v>0.85850000000000004</v>
      </c>
      <c r="V266">
        <v>2.8899999999999999E-2</v>
      </c>
      <c r="W266">
        <v>3.7699999999999997E-2</v>
      </c>
      <c r="X266">
        <v>6.2E-2</v>
      </c>
      <c r="Y266">
        <v>0.55400000000000005</v>
      </c>
      <c r="Z266">
        <v>0.29599999999999999</v>
      </c>
    </row>
    <row r="267" spans="1:26" x14ac:dyDescent="0.25">
      <c r="A267" s="1" t="s">
        <v>224</v>
      </c>
      <c r="J267" t="str">
        <f t="shared" si="19"/>
        <v xml:space="preserve">        69.5        1.17      0.8309      0.0194      0.0272       0.044       0.399       0.199              </v>
      </c>
      <c r="S267">
        <v>69.5</v>
      </c>
      <c r="T267">
        <v>1.17</v>
      </c>
      <c r="U267">
        <v>0.83089999999999997</v>
      </c>
      <c r="V267">
        <v>1.9400000000000001E-2</v>
      </c>
      <c r="W267">
        <v>2.7199999999999998E-2</v>
      </c>
      <c r="X267">
        <v>4.3999999999999997E-2</v>
      </c>
      <c r="Y267">
        <v>0.39900000000000002</v>
      </c>
      <c r="Z267">
        <v>0.19900000000000001</v>
      </c>
    </row>
    <row r="268" spans="1:26" x14ac:dyDescent="0.25">
      <c r="A268" s="1" t="s">
        <v>225</v>
      </c>
      <c r="J268" t="str">
        <f t="shared" si="19"/>
        <v xml:space="preserve">        72.1        1.21      0.7395      0.0098      0.0159       0.026       0.234       0.100              </v>
      </c>
      <c r="S268">
        <v>72.099999999999994</v>
      </c>
      <c r="T268">
        <v>1.21</v>
      </c>
      <c r="U268">
        <v>0.73950000000000005</v>
      </c>
      <c r="V268">
        <v>9.7999999999999997E-3</v>
      </c>
      <c r="W268">
        <v>1.5900000000000001E-2</v>
      </c>
      <c r="X268">
        <v>2.5999999999999999E-2</v>
      </c>
      <c r="Y268">
        <v>0.23400000000000001</v>
      </c>
      <c r="Z268">
        <v>0.1</v>
      </c>
    </row>
    <row r="269" spans="1:26" x14ac:dyDescent="0.25">
      <c r="A269" s="1" t="s">
        <v>226</v>
      </c>
      <c r="J269" t="str">
        <f t="shared" si="19"/>
        <v xml:space="preserve">        74.7        1.25     -0.0022      0.0000      0.0046       0.008       0.068       0.000              </v>
      </c>
      <c r="S269">
        <v>74.7</v>
      </c>
      <c r="T269">
        <v>1.25</v>
      </c>
      <c r="U269">
        <v>-2.2000000000000001E-3</v>
      </c>
      <c r="V269">
        <v>0</v>
      </c>
      <c r="W269">
        <v>4.5999999999999999E-3</v>
      </c>
      <c r="X269">
        <v>8.0000000000000002E-3</v>
      </c>
      <c r="Y269">
        <v>6.8000000000000005E-2</v>
      </c>
      <c r="Z269">
        <v>0</v>
      </c>
    </row>
    <row r="270" spans="1:26" x14ac:dyDescent="0.25">
      <c r="A270" s="1" t="s">
        <v>1</v>
      </c>
    </row>
    <row r="271" spans="1:26" x14ac:dyDescent="0.25">
      <c r="A271" s="1" t="s">
        <v>1</v>
      </c>
    </row>
    <row r="272" spans="1:26" x14ac:dyDescent="0.25">
      <c r="A272" s="1" t="s">
        <v>1</v>
      </c>
    </row>
    <row r="273" spans="1:29" x14ac:dyDescent="0.25">
      <c r="A273" s="1" t="s">
        <v>227</v>
      </c>
      <c r="S273">
        <v>8000</v>
      </c>
      <c r="AC273" t="str">
        <f>CONCATENATE($V$16,$AC$13,S273)</f>
        <v>Ct@8000</v>
      </c>
    </row>
    <row r="274" spans="1:29" x14ac:dyDescent="0.25">
      <c r="A274" s="1" t="s">
        <v>1</v>
      </c>
    </row>
    <row r="275" spans="1:29" x14ac:dyDescent="0.25">
      <c r="A275" s="1" t="s">
        <v>9</v>
      </c>
      <c r="J275" t="str">
        <f>A275</f>
        <v xml:space="preserve">         V          J           Pe         Ct          Cp          PWR         Torque      Thrust             </v>
      </c>
      <c r="S275" t="s">
        <v>662</v>
      </c>
      <c r="T275" t="s">
        <v>663</v>
      </c>
      <c r="U275" t="s">
        <v>664</v>
      </c>
      <c r="V275" t="s">
        <v>665</v>
      </c>
      <c r="W275" t="s">
        <v>666</v>
      </c>
      <c r="X275" t="s">
        <v>667</v>
      </c>
      <c r="Y275" t="s">
        <v>668</v>
      </c>
      <c r="Z275" t="s">
        <v>669</v>
      </c>
    </row>
    <row r="276" spans="1:29" x14ac:dyDescent="0.25">
      <c r="A276" s="1" t="s">
        <v>10</v>
      </c>
      <c r="J276" t="str">
        <f t="shared" ref="J276:J306" si="20">A276</f>
        <v xml:space="preserve">       (mph)     (Adv Ratio)                                       (Hp)        (In-Lbf)     (Lbf)             </v>
      </c>
      <c r="S276" t="s">
        <v>670</v>
      </c>
      <c r="T276" t="s">
        <v>671</v>
      </c>
      <c r="X276" t="s">
        <v>672</v>
      </c>
      <c r="Y276" t="s">
        <v>673</v>
      </c>
      <c r="Z276" t="s">
        <v>674</v>
      </c>
    </row>
    <row r="277" spans="1:29" x14ac:dyDescent="0.25">
      <c r="A277" s="1" t="s">
        <v>228</v>
      </c>
      <c r="J277" t="str">
        <f t="shared" si="20"/>
        <v xml:space="preserve">         0.0        0.00      0.0000      0.1312      0.0716       0.174       1.372       1.755              </v>
      </c>
      <c r="S277">
        <v>0</v>
      </c>
      <c r="T277">
        <v>0</v>
      </c>
      <c r="U277">
        <v>0</v>
      </c>
      <c r="V277">
        <v>0.13120000000000001</v>
      </c>
      <c r="W277">
        <v>7.1599999999999997E-2</v>
      </c>
      <c r="X277">
        <v>0.17399999999999999</v>
      </c>
      <c r="Y277">
        <v>1.3720000000000001</v>
      </c>
      <c r="Z277">
        <v>1.7549999999999999</v>
      </c>
    </row>
    <row r="278" spans="1:29" x14ac:dyDescent="0.25">
      <c r="A278" s="1" t="s">
        <v>229</v>
      </c>
      <c r="J278" t="str">
        <f t="shared" si="20"/>
        <v xml:space="preserve">         2.9        0.04      0.0768      0.1314      0.0738       0.180       1.414       1.757              </v>
      </c>
      <c r="S278">
        <v>2.9</v>
      </c>
      <c r="T278">
        <v>0.04</v>
      </c>
      <c r="U278">
        <v>7.6799999999999993E-2</v>
      </c>
      <c r="V278">
        <v>0.13139999999999999</v>
      </c>
      <c r="W278">
        <v>7.3800000000000004E-2</v>
      </c>
      <c r="X278">
        <v>0.18</v>
      </c>
      <c r="Y278">
        <v>1.4139999999999999</v>
      </c>
      <c r="Z278">
        <v>1.7569999999999999</v>
      </c>
    </row>
    <row r="279" spans="1:29" x14ac:dyDescent="0.25">
      <c r="A279" s="1" t="s">
        <v>230</v>
      </c>
      <c r="J279" t="str">
        <f t="shared" si="20"/>
        <v xml:space="preserve">         5.9        0.09      0.1490      0.1316      0.0762       0.185       1.459       1.760              </v>
      </c>
      <c r="S279">
        <v>5.9</v>
      </c>
      <c r="T279">
        <v>0.09</v>
      </c>
      <c r="U279">
        <v>0.14899999999999999</v>
      </c>
      <c r="V279">
        <v>0.13159999999999999</v>
      </c>
      <c r="W279">
        <v>7.6200000000000004E-2</v>
      </c>
      <c r="X279">
        <v>0.185</v>
      </c>
      <c r="Y279">
        <v>1.4590000000000001</v>
      </c>
      <c r="Z279">
        <v>1.76</v>
      </c>
    </row>
    <row r="280" spans="1:29" x14ac:dyDescent="0.25">
      <c r="A280" s="1" t="s">
        <v>231</v>
      </c>
      <c r="J280" t="str">
        <f t="shared" si="20"/>
        <v xml:space="preserve">         8.8        0.13      0.2169      0.1318      0.0786       0.191       1.507       1.763              </v>
      </c>
      <c r="S280">
        <v>8.8000000000000007</v>
      </c>
      <c r="T280">
        <v>0.13</v>
      </c>
      <c r="U280">
        <v>0.21690000000000001</v>
      </c>
      <c r="V280">
        <v>0.1318</v>
      </c>
      <c r="W280">
        <v>7.8600000000000003E-2</v>
      </c>
      <c r="X280">
        <v>0.191</v>
      </c>
      <c r="Y280">
        <v>1.5069999999999999</v>
      </c>
      <c r="Z280">
        <v>1.7629999999999999</v>
      </c>
    </row>
    <row r="281" spans="1:29" x14ac:dyDescent="0.25">
      <c r="A281" s="1" t="s">
        <v>232</v>
      </c>
      <c r="J281" t="str">
        <f t="shared" si="20"/>
        <v xml:space="preserve">        11.8        0.17      0.2803      0.1319      0.0812       0.198       1.556       1.765              </v>
      </c>
      <c r="S281">
        <v>11.8</v>
      </c>
      <c r="T281">
        <v>0.17</v>
      </c>
      <c r="U281">
        <v>0.28029999999999999</v>
      </c>
      <c r="V281">
        <v>0.13189999999999999</v>
      </c>
      <c r="W281">
        <v>8.1199999999999994E-2</v>
      </c>
      <c r="X281">
        <v>0.19800000000000001</v>
      </c>
      <c r="Y281">
        <v>1.556</v>
      </c>
      <c r="Z281">
        <v>1.7649999999999999</v>
      </c>
    </row>
    <row r="282" spans="1:29" x14ac:dyDescent="0.25">
      <c r="A282" s="1" t="s">
        <v>233</v>
      </c>
      <c r="J282" t="str">
        <f t="shared" si="20"/>
        <v xml:space="preserve">        14.7        0.22      0.3395      0.1320      0.0839       0.204       1.607       1.766              </v>
      </c>
      <c r="S282">
        <v>14.7</v>
      </c>
      <c r="T282">
        <v>0.22</v>
      </c>
      <c r="U282">
        <v>0.33950000000000002</v>
      </c>
      <c r="V282">
        <v>0.13200000000000001</v>
      </c>
      <c r="W282">
        <v>8.3900000000000002E-2</v>
      </c>
      <c r="X282">
        <v>0.20399999999999999</v>
      </c>
      <c r="Y282">
        <v>1.607</v>
      </c>
      <c r="Z282">
        <v>1.766</v>
      </c>
    </row>
    <row r="283" spans="1:29" x14ac:dyDescent="0.25">
      <c r="A283" s="1" t="s">
        <v>234</v>
      </c>
      <c r="J283" t="str">
        <f t="shared" si="20"/>
        <v xml:space="preserve">        17.6        0.26      0.3946      0.1321      0.0867       0.211       1.660       1.767              </v>
      </c>
      <c r="S283">
        <v>17.600000000000001</v>
      </c>
      <c r="T283">
        <v>0.26</v>
      </c>
      <c r="U283">
        <v>0.39460000000000001</v>
      </c>
      <c r="V283">
        <v>0.1321</v>
      </c>
      <c r="W283">
        <v>8.6699999999999999E-2</v>
      </c>
      <c r="X283">
        <v>0.21099999999999999</v>
      </c>
      <c r="Y283">
        <v>1.66</v>
      </c>
      <c r="Z283">
        <v>1.7669999999999999</v>
      </c>
    </row>
    <row r="284" spans="1:29" x14ac:dyDescent="0.25">
      <c r="A284" s="1" t="s">
        <v>235</v>
      </c>
      <c r="J284" t="str">
        <f t="shared" si="20"/>
        <v xml:space="preserve">        20.6        0.30      0.4458      0.1321      0.0895       0.218       1.715       1.767              </v>
      </c>
      <c r="S284">
        <v>20.6</v>
      </c>
      <c r="T284">
        <v>0.3</v>
      </c>
      <c r="U284">
        <v>0.44579999999999997</v>
      </c>
      <c r="V284">
        <v>0.1321</v>
      </c>
      <c r="W284">
        <v>8.9499999999999996E-2</v>
      </c>
      <c r="X284">
        <v>0.218</v>
      </c>
      <c r="Y284">
        <v>1.7150000000000001</v>
      </c>
      <c r="Z284">
        <v>1.7669999999999999</v>
      </c>
    </row>
    <row r="285" spans="1:29" x14ac:dyDescent="0.25">
      <c r="A285" s="1" t="s">
        <v>236</v>
      </c>
      <c r="J285" t="str">
        <f t="shared" si="20"/>
        <v xml:space="preserve">        23.5        0.35      0.4931      0.1320      0.0924       0.225       1.770       1.766              </v>
      </c>
      <c r="S285">
        <v>23.5</v>
      </c>
      <c r="T285">
        <v>0.35</v>
      </c>
      <c r="U285">
        <v>0.49309999999999998</v>
      </c>
      <c r="V285">
        <v>0.13200000000000001</v>
      </c>
      <c r="W285">
        <v>9.2399999999999996E-2</v>
      </c>
      <c r="X285">
        <v>0.22500000000000001</v>
      </c>
      <c r="Y285">
        <v>1.77</v>
      </c>
      <c r="Z285">
        <v>1.766</v>
      </c>
    </row>
    <row r="286" spans="1:29" x14ac:dyDescent="0.25">
      <c r="A286" s="1" t="s">
        <v>237</v>
      </c>
      <c r="J286" t="str">
        <f t="shared" si="20"/>
        <v xml:space="preserve">        26.5        0.39      0.5369      0.1318      0.0953       0.232       1.826       1.763              </v>
      </c>
      <c r="S286">
        <v>26.5</v>
      </c>
      <c r="T286">
        <v>0.39</v>
      </c>
      <c r="U286">
        <v>0.53690000000000004</v>
      </c>
      <c r="V286">
        <v>0.1318</v>
      </c>
      <c r="W286">
        <v>9.5299999999999996E-2</v>
      </c>
      <c r="X286">
        <v>0.23200000000000001</v>
      </c>
      <c r="Y286">
        <v>1.8260000000000001</v>
      </c>
      <c r="Z286">
        <v>1.7629999999999999</v>
      </c>
    </row>
    <row r="287" spans="1:29" x14ac:dyDescent="0.25">
      <c r="A287" s="1" t="s">
        <v>238</v>
      </c>
      <c r="J287" t="str">
        <f t="shared" si="20"/>
        <v xml:space="preserve">        29.4        0.43      0.5772      0.1315      0.0982       0.239       1.882       1.758              </v>
      </c>
      <c r="S287">
        <v>29.4</v>
      </c>
      <c r="T287">
        <v>0.43</v>
      </c>
      <c r="U287">
        <v>0.57720000000000005</v>
      </c>
      <c r="V287">
        <v>0.13150000000000001</v>
      </c>
      <c r="W287">
        <v>9.8199999999999996E-2</v>
      </c>
      <c r="X287">
        <v>0.23899999999999999</v>
      </c>
      <c r="Y287">
        <v>1.8819999999999999</v>
      </c>
      <c r="Z287">
        <v>1.758</v>
      </c>
    </row>
    <row r="288" spans="1:29" x14ac:dyDescent="0.25">
      <c r="A288" s="1" t="s">
        <v>239</v>
      </c>
      <c r="J288" t="str">
        <f t="shared" si="20"/>
        <v xml:space="preserve">        32.4        0.47      0.6144      0.1308      0.1010       0.246       1.935       1.750              </v>
      </c>
      <c r="S288">
        <v>32.4</v>
      </c>
      <c r="T288">
        <v>0.47</v>
      </c>
      <c r="U288">
        <v>0.61439999999999995</v>
      </c>
      <c r="V288">
        <v>0.1308</v>
      </c>
      <c r="W288">
        <v>0.10100000000000001</v>
      </c>
      <c r="X288">
        <v>0.246</v>
      </c>
      <c r="Y288">
        <v>1.9350000000000001</v>
      </c>
      <c r="Z288">
        <v>1.75</v>
      </c>
    </row>
    <row r="289" spans="1:26" x14ac:dyDescent="0.25">
      <c r="A289" s="1" t="s">
        <v>240</v>
      </c>
      <c r="J289" t="str">
        <f t="shared" si="20"/>
        <v xml:space="preserve">        35.3        0.52      0.6486      0.1296      0.1034       0.252       1.982       1.734              </v>
      </c>
      <c r="S289">
        <v>35.299999999999997</v>
      </c>
      <c r="T289">
        <v>0.52</v>
      </c>
      <c r="U289">
        <v>0.64859999999999995</v>
      </c>
      <c r="V289">
        <v>0.12959999999999999</v>
      </c>
      <c r="W289">
        <v>0.10340000000000001</v>
      </c>
      <c r="X289">
        <v>0.252</v>
      </c>
      <c r="Y289">
        <v>1.982</v>
      </c>
      <c r="Z289">
        <v>1.734</v>
      </c>
    </row>
    <row r="290" spans="1:26" x14ac:dyDescent="0.25">
      <c r="A290" s="1" t="s">
        <v>241</v>
      </c>
      <c r="J290" t="str">
        <f t="shared" si="20"/>
        <v xml:space="preserve">        38.2        0.56      0.6805      0.1272      0.1048       0.255       2.009       1.702              </v>
      </c>
      <c r="S290">
        <v>38.200000000000003</v>
      </c>
      <c r="T290">
        <v>0.56000000000000005</v>
      </c>
      <c r="U290">
        <v>0.68049999999999999</v>
      </c>
      <c r="V290">
        <v>0.12720000000000001</v>
      </c>
      <c r="W290">
        <v>0.1048</v>
      </c>
      <c r="X290">
        <v>0.255</v>
      </c>
      <c r="Y290">
        <v>2.0089999999999999</v>
      </c>
      <c r="Z290">
        <v>1.702</v>
      </c>
    </row>
    <row r="291" spans="1:26" x14ac:dyDescent="0.25">
      <c r="A291" s="1" t="s">
        <v>242</v>
      </c>
      <c r="J291" t="str">
        <f t="shared" si="20"/>
        <v xml:space="preserve">        41.2        0.60      0.7099      0.1235      0.1050       0.255       2.012       1.652              </v>
      </c>
      <c r="S291">
        <v>41.2</v>
      </c>
      <c r="T291">
        <v>0.6</v>
      </c>
      <c r="U291">
        <v>0.70989999999999998</v>
      </c>
      <c r="V291">
        <v>0.1235</v>
      </c>
      <c r="W291">
        <v>0.105</v>
      </c>
      <c r="X291">
        <v>0.255</v>
      </c>
      <c r="Y291">
        <v>2.012</v>
      </c>
      <c r="Z291">
        <v>1.6519999999999999</v>
      </c>
    </row>
    <row r="292" spans="1:26" x14ac:dyDescent="0.25">
      <c r="A292" s="1" t="s">
        <v>243</v>
      </c>
      <c r="J292" t="str">
        <f t="shared" si="20"/>
        <v xml:space="preserve">        44.1        0.65      0.7366      0.1187      0.1043       0.254       1.998       1.588              </v>
      </c>
      <c r="S292">
        <v>44.1</v>
      </c>
      <c r="T292">
        <v>0.65</v>
      </c>
      <c r="U292">
        <v>0.73660000000000003</v>
      </c>
      <c r="V292">
        <v>0.1187</v>
      </c>
      <c r="W292">
        <v>0.1043</v>
      </c>
      <c r="X292">
        <v>0.254</v>
      </c>
      <c r="Y292">
        <v>1.998</v>
      </c>
      <c r="Z292">
        <v>1.5880000000000001</v>
      </c>
    </row>
    <row r="293" spans="1:26" x14ac:dyDescent="0.25">
      <c r="A293" s="1" t="s">
        <v>244</v>
      </c>
      <c r="J293" t="str">
        <f t="shared" si="20"/>
        <v xml:space="preserve">        47.1        0.69      0.7609      0.1129      0.1024       0.249       1.962       1.510              </v>
      </c>
      <c r="S293">
        <v>47.1</v>
      </c>
      <c r="T293">
        <v>0.69</v>
      </c>
      <c r="U293">
        <v>0.76090000000000002</v>
      </c>
      <c r="V293">
        <v>0.1129</v>
      </c>
      <c r="W293">
        <v>0.1024</v>
      </c>
      <c r="X293">
        <v>0.249</v>
      </c>
      <c r="Y293">
        <v>1.962</v>
      </c>
      <c r="Z293">
        <v>1.51</v>
      </c>
    </row>
    <row r="294" spans="1:26" x14ac:dyDescent="0.25">
      <c r="A294" s="1" t="s">
        <v>245</v>
      </c>
      <c r="J294" t="str">
        <f t="shared" si="20"/>
        <v xml:space="preserve">        50.0        0.73      0.7830      0.1062      0.0995       0.242       1.906       1.421              </v>
      </c>
      <c r="S294">
        <v>50</v>
      </c>
      <c r="T294">
        <v>0.73</v>
      </c>
      <c r="U294">
        <v>0.78300000000000003</v>
      </c>
      <c r="V294">
        <v>0.1062</v>
      </c>
      <c r="W294">
        <v>9.9500000000000005E-2</v>
      </c>
      <c r="X294">
        <v>0.24199999999999999</v>
      </c>
      <c r="Y294">
        <v>1.9059999999999999</v>
      </c>
      <c r="Z294">
        <v>1.421</v>
      </c>
    </row>
    <row r="295" spans="1:26" x14ac:dyDescent="0.25">
      <c r="A295" s="1" t="s">
        <v>246</v>
      </c>
      <c r="J295" t="str">
        <f t="shared" si="20"/>
        <v xml:space="preserve">        52.9        0.78      0.8033      0.0983      0.0950       0.231       1.821       1.315              </v>
      </c>
      <c r="S295">
        <v>52.9</v>
      </c>
      <c r="T295">
        <v>0.78</v>
      </c>
      <c r="U295">
        <v>0.80330000000000001</v>
      </c>
      <c r="V295">
        <v>9.8299999999999998E-2</v>
      </c>
      <c r="W295">
        <v>9.5000000000000001E-2</v>
      </c>
      <c r="X295">
        <v>0.23100000000000001</v>
      </c>
      <c r="Y295">
        <v>1.821</v>
      </c>
      <c r="Z295">
        <v>1.3149999999999999</v>
      </c>
    </row>
    <row r="296" spans="1:26" x14ac:dyDescent="0.25">
      <c r="A296" s="1" t="s">
        <v>247</v>
      </c>
      <c r="J296" t="str">
        <f t="shared" si="20"/>
        <v xml:space="preserve">        55.9        0.82      0.8211      0.0903      0.0901       0.219       1.726       1.207              </v>
      </c>
      <c r="S296">
        <v>55.9</v>
      </c>
      <c r="T296">
        <v>0.82</v>
      </c>
      <c r="U296">
        <v>0.82110000000000005</v>
      </c>
      <c r="V296">
        <v>9.0300000000000005E-2</v>
      </c>
      <c r="W296">
        <v>9.01E-2</v>
      </c>
      <c r="X296">
        <v>0.219</v>
      </c>
      <c r="Y296">
        <v>1.726</v>
      </c>
      <c r="Z296">
        <v>1.2070000000000001</v>
      </c>
    </row>
    <row r="297" spans="1:26" x14ac:dyDescent="0.25">
      <c r="A297" s="1" t="s">
        <v>248</v>
      </c>
      <c r="J297" t="str">
        <f t="shared" si="20"/>
        <v xml:space="preserve">        58.8        0.86      0.8365      0.0820      0.0846       0.206       1.621       1.097              </v>
      </c>
      <c r="S297">
        <v>58.8</v>
      </c>
      <c r="T297">
        <v>0.86</v>
      </c>
      <c r="U297">
        <v>0.83650000000000002</v>
      </c>
      <c r="V297">
        <v>8.2000000000000003E-2</v>
      </c>
      <c r="W297">
        <v>8.4599999999999995E-2</v>
      </c>
      <c r="X297">
        <v>0.20599999999999999</v>
      </c>
      <c r="Y297">
        <v>1.621</v>
      </c>
      <c r="Z297">
        <v>1.097</v>
      </c>
    </row>
    <row r="298" spans="1:26" x14ac:dyDescent="0.25">
      <c r="A298" s="1" t="s">
        <v>249</v>
      </c>
      <c r="J298" t="str">
        <f t="shared" si="20"/>
        <v xml:space="preserve">        61.8        0.91      0.8495      0.0736      0.0785       0.191       1.504       0.985              </v>
      </c>
      <c r="S298">
        <v>61.8</v>
      </c>
      <c r="T298">
        <v>0.91</v>
      </c>
      <c r="U298">
        <v>0.84950000000000003</v>
      </c>
      <c r="V298">
        <v>7.3599999999999999E-2</v>
      </c>
      <c r="W298">
        <v>7.85E-2</v>
      </c>
      <c r="X298">
        <v>0.191</v>
      </c>
      <c r="Y298">
        <v>1.504</v>
      </c>
      <c r="Z298">
        <v>0.98499999999999999</v>
      </c>
    </row>
    <row r="299" spans="1:26" x14ac:dyDescent="0.25">
      <c r="A299" s="1" t="s">
        <v>250</v>
      </c>
      <c r="J299" t="str">
        <f t="shared" si="20"/>
        <v xml:space="preserve">        64.7        0.95      0.8605      0.0651      0.0717       0.174       1.375       0.870              </v>
      </c>
      <c r="S299">
        <v>64.7</v>
      </c>
      <c r="T299">
        <v>0.95</v>
      </c>
      <c r="U299">
        <v>0.86050000000000004</v>
      </c>
      <c r="V299">
        <v>6.5100000000000005E-2</v>
      </c>
      <c r="W299">
        <v>7.17E-2</v>
      </c>
      <c r="X299">
        <v>0.17399999999999999</v>
      </c>
      <c r="Y299">
        <v>1.375</v>
      </c>
      <c r="Z299">
        <v>0.87</v>
      </c>
    </row>
    <row r="300" spans="1:26" x14ac:dyDescent="0.25">
      <c r="A300" s="1" t="s">
        <v>251</v>
      </c>
      <c r="J300" t="str">
        <f t="shared" si="20"/>
        <v xml:space="preserve">        67.6        0.99      0.8686      0.0563      0.0643       0.156       1.232       0.753              </v>
      </c>
      <c r="S300">
        <v>67.599999999999994</v>
      </c>
      <c r="T300">
        <v>0.99</v>
      </c>
      <c r="U300">
        <v>0.86860000000000004</v>
      </c>
      <c r="V300">
        <v>5.6300000000000003E-2</v>
      </c>
      <c r="W300">
        <v>6.4299999999999996E-2</v>
      </c>
      <c r="X300">
        <v>0.156</v>
      </c>
      <c r="Y300">
        <v>1.232</v>
      </c>
      <c r="Z300">
        <v>0.753</v>
      </c>
    </row>
    <row r="301" spans="1:26" x14ac:dyDescent="0.25">
      <c r="A301" s="1" t="s">
        <v>252</v>
      </c>
      <c r="J301" t="str">
        <f t="shared" si="20"/>
        <v xml:space="preserve">        70.6        1.04      0.8737      0.0474      0.0561       0.136       1.075       0.634              </v>
      </c>
      <c r="S301">
        <v>70.599999999999994</v>
      </c>
      <c r="T301">
        <v>1.04</v>
      </c>
      <c r="U301">
        <v>0.87370000000000003</v>
      </c>
      <c r="V301">
        <v>4.7399999999999998E-2</v>
      </c>
      <c r="W301">
        <v>5.6099999999999997E-2</v>
      </c>
      <c r="X301">
        <v>0.13600000000000001</v>
      </c>
      <c r="Y301">
        <v>1.075</v>
      </c>
      <c r="Z301">
        <v>0.63400000000000001</v>
      </c>
    </row>
    <row r="302" spans="1:26" x14ac:dyDescent="0.25">
      <c r="A302" s="1" t="s">
        <v>253</v>
      </c>
      <c r="J302" t="str">
        <f t="shared" si="20"/>
        <v xml:space="preserve">        73.5        1.08      0.8749      0.0383      0.0472       0.115       0.903       0.512              </v>
      </c>
      <c r="S302">
        <v>73.5</v>
      </c>
      <c r="T302">
        <v>1.08</v>
      </c>
      <c r="U302">
        <v>0.87490000000000001</v>
      </c>
      <c r="V302">
        <v>3.8300000000000001E-2</v>
      </c>
      <c r="W302">
        <v>4.7199999999999999E-2</v>
      </c>
      <c r="X302">
        <v>0.115</v>
      </c>
      <c r="Y302">
        <v>0.90300000000000002</v>
      </c>
      <c r="Z302">
        <v>0.51200000000000001</v>
      </c>
    </row>
    <row r="303" spans="1:26" x14ac:dyDescent="0.25">
      <c r="A303" s="1" t="s">
        <v>254</v>
      </c>
      <c r="J303" t="str">
        <f t="shared" si="20"/>
        <v xml:space="preserve">        76.5        1.12      0.8666      0.0289      0.0374       0.091       0.717       0.387              </v>
      </c>
      <c r="S303">
        <v>76.5</v>
      </c>
      <c r="T303">
        <v>1.1200000000000001</v>
      </c>
      <c r="U303">
        <v>0.86660000000000004</v>
      </c>
      <c r="V303">
        <v>2.8899999999999999E-2</v>
      </c>
      <c r="W303">
        <v>3.7400000000000003E-2</v>
      </c>
      <c r="X303">
        <v>9.0999999999999998E-2</v>
      </c>
      <c r="Y303">
        <v>0.71699999999999997</v>
      </c>
      <c r="Z303">
        <v>0.38700000000000001</v>
      </c>
    </row>
    <row r="304" spans="1:26" x14ac:dyDescent="0.25">
      <c r="A304" s="1" t="s">
        <v>255</v>
      </c>
      <c r="J304" t="str">
        <f t="shared" si="20"/>
        <v xml:space="preserve">        79.4        1.16      0.8386      0.0194      0.0270       0.066       0.518       0.260              </v>
      </c>
      <c r="S304">
        <v>79.400000000000006</v>
      </c>
      <c r="T304">
        <v>1.1599999999999999</v>
      </c>
      <c r="U304">
        <v>0.83860000000000001</v>
      </c>
      <c r="V304">
        <v>1.9400000000000001E-2</v>
      </c>
      <c r="W304">
        <v>2.7E-2</v>
      </c>
      <c r="X304">
        <v>6.6000000000000003E-2</v>
      </c>
      <c r="Y304">
        <v>0.51800000000000002</v>
      </c>
      <c r="Z304">
        <v>0.26</v>
      </c>
    </row>
    <row r="305" spans="1:30" x14ac:dyDescent="0.25">
      <c r="A305" s="1" t="s">
        <v>256</v>
      </c>
      <c r="J305" t="str">
        <f t="shared" si="20"/>
        <v xml:space="preserve">        82.3        1.21      0.7463      0.0098      0.0158       0.038       0.303       0.131              </v>
      </c>
      <c r="S305">
        <v>82.3</v>
      </c>
      <c r="T305">
        <v>1.21</v>
      </c>
      <c r="U305">
        <v>0.74629999999999996</v>
      </c>
      <c r="V305">
        <v>9.7999999999999997E-3</v>
      </c>
      <c r="W305">
        <v>1.5800000000000002E-2</v>
      </c>
      <c r="X305">
        <v>3.7999999999999999E-2</v>
      </c>
      <c r="Y305">
        <v>0.30299999999999999</v>
      </c>
      <c r="Z305">
        <v>0.13100000000000001</v>
      </c>
    </row>
    <row r="306" spans="1:30" x14ac:dyDescent="0.25">
      <c r="A306" s="1" t="s">
        <v>257</v>
      </c>
      <c r="J306" t="str">
        <f t="shared" si="20"/>
        <v xml:space="preserve">        85.3        1.25     -0.0094      0.0000      0.0045       0.011       0.086       0.000              </v>
      </c>
      <c r="S306">
        <v>85.3</v>
      </c>
      <c r="T306">
        <v>1.25</v>
      </c>
      <c r="U306">
        <v>-9.4000000000000004E-3</v>
      </c>
      <c r="V306">
        <v>0</v>
      </c>
      <c r="W306">
        <v>4.4999999999999997E-3</v>
      </c>
      <c r="X306">
        <v>1.0999999999999999E-2</v>
      </c>
      <c r="Y306">
        <v>8.5999999999999993E-2</v>
      </c>
      <c r="Z306">
        <v>0</v>
      </c>
    </row>
    <row r="307" spans="1:30" x14ac:dyDescent="0.25">
      <c r="A307" s="1" t="s">
        <v>1</v>
      </c>
    </row>
    <row r="308" spans="1:30" x14ac:dyDescent="0.25">
      <c r="A308" s="1" t="s">
        <v>1</v>
      </c>
    </row>
    <row r="309" spans="1:30" x14ac:dyDescent="0.25">
      <c r="A309" s="1" t="s">
        <v>1</v>
      </c>
    </row>
    <row r="310" spans="1:30" x14ac:dyDescent="0.25">
      <c r="A310" s="1" t="s">
        <v>258</v>
      </c>
      <c r="S310">
        <v>9000</v>
      </c>
      <c r="AC310" t="str">
        <f>CONCATENATE($V$16,$AC$13,S310)</f>
        <v>Ct@9000</v>
      </c>
      <c r="AD310" s="3" t="str">
        <f>CONCATENATE($W$16,$AC$13,S310)</f>
        <v>Cp@9000</v>
      </c>
    </row>
    <row r="311" spans="1:30" x14ac:dyDescent="0.25">
      <c r="A311" s="1" t="s">
        <v>1</v>
      </c>
    </row>
    <row r="312" spans="1:30" x14ac:dyDescent="0.25">
      <c r="A312" s="1" t="s">
        <v>9</v>
      </c>
      <c r="J312" t="str">
        <f>A312</f>
        <v xml:space="preserve">         V          J           Pe         Ct          Cp          PWR         Torque      Thrust             </v>
      </c>
      <c r="S312" t="s">
        <v>662</v>
      </c>
      <c r="T312" t="s">
        <v>663</v>
      </c>
      <c r="U312" t="s">
        <v>664</v>
      </c>
      <c r="V312" t="s">
        <v>665</v>
      </c>
      <c r="W312" t="s">
        <v>666</v>
      </c>
      <c r="X312" t="s">
        <v>667</v>
      </c>
      <c r="Y312" t="s">
        <v>668</v>
      </c>
      <c r="Z312" t="s">
        <v>669</v>
      </c>
    </row>
    <row r="313" spans="1:30" x14ac:dyDescent="0.25">
      <c r="A313" s="1" t="s">
        <v>10</v>
      </c>
      <c r="J313" t="str">
        <f t="shared" ref="J313:J343" si="21">A313</f>
        <v xml:space="preserve">       (mph)     (Adv Ratio)                                       (Hp)        (In-Lbf)     (Lbf)             </v>
      </c>
      <c r="S313" t="s">
        <v>670</v>
      </c>
      <c r="T313" t="s">
        <v>671</v>
      </c>
      <c r="X313" t="s">
        <v>672</v>
      </c>
      <c r="Y313" t="s">
        <v>673</v>
      </c>
      <c r="Z313" t="s">
        <v>674</v>
      </c>
    </row>
    <row r="314" spans="1:30" x14ac:dyDescent="0.25">
      <c r="A314" s="1" t="s">
        <v>259</v>
      </c>
      <c r="J314" t="str">
        <f t="shared" si="21"/>
        <v xml:space="preserve">         0.0        0.00      0.0000      0.1309      0.0687       0.238       1.666       2.216              </v>
      </c>
      <c r="S314">
        <v>0</v>
      </c>
      <c r="T314">
        <v>0</v>
      </c>
      <c r="U314">
        <v>0</v>
      </c>
      <c r="V314">
        <v>0.13089999999999999</v>
      </c>
      <c r="W314">
        <v>6.8699999999999997E-2</v>
      </c>
      <c r="X314">
        <v>0.23799999999999999</v>
      </c>
      <c r="Y314">
        <v>1.6659999999999999</v>
      </c>
      <c r="Z314">
        <v>2.2160000000000002</v>
      </c>
    </row>
    <row r="315" spans="1:30" x14ac:dyDescent="0.25">
      <c r="A315" s="1" t="s">
        <v>260</v>
      </c>
      <c r="J315" t="str">
        <f t="shared" si="21"/>
        <v xml:space="preserve">         3.3        0.04      0.0795      0.1311      0.0711       0.246       1.723       2.219              </v>
      </c>
      <c r="S315">
        <v>3.3</v>
      </c>
      <c r="T315">
        <v>0.04</v>
      </c>
      <c r="U315">
        <v>7.9500000000000001E-2</v>
      </c>
      <c r="V315">
        <v>0.13109999999999999</v>
      </c>
      <c r="W315">
        <v>7.1099999999999997E-2</v>
      </c>
      <c r="X315">
        <v>0.246</v>
      </c>
      <c r="Y315">
        <v>1.7230000000000001</v>
      </c>
      <c r="Z315">
        <v>2.2189999999999999</v>
      </c>
    </row>
    <row r="316" spans="1:30" x14ac:dyDescent="0.25">
      <c r="A316" s="1" t="s">
        <v>261</v>
      </c>
      <c r="J316" t="str">
        <f t="shared" si="21"/>
        <v xml:space="preserve">         6.6        0.09      0.1539      0.1313      0.0736       0.255       1.784       2.222              </v>
      </c>
      <c r="S316">
        <v>6.6</v>
      </c>
      <c r="T316">
        <v>0.09</v>
      </c>
      <c r="U316">
        <v>0.15390000000000001</v>
      </c>
      <c r="V316">
        <v>0.1313</v>
      </c>
      <c r="W316">
        <v>7.3599999999999999E-2</v>
      </c>
      <c r="X316">
        <v>0.255</v>
      </c>
      <c r="Y316">
        <v>1.784</v>
      </c>
      <c r="Z316">
        <v>2.222</v>
      </c>
    </row>
    <row r="317" spans="1:30" x14ac:dyDescent="0.25">
      <c r="A317" s="1" t="s">
        <v>262</v>
      </c>
      <c r="J317" t="str">
        <f t="shared" si="21"/>
        <v xml:space="preserve">         9.9        0.13      0.2231      0.1315      0.0762       0.264       1.848       2.226              </v>
      </c>
      <c r="S317">
        <v>9.9</v>
      </c>
      <c r="T317">
        <v>0.13</v>
      </c>
      <c r="U317">
        <v>0.22309999999999999</v>
      </c>
      <c r="V317">
        <v>0.13150000000000001</v>
      </c>
      <c r="W317">
        <v>7.6200000000000004E-2</v>
      </c>
      <c r="X317">
        <v>0.26400000000000001</v>
      </c>
      <c r="Y317">
        <v>1.8480000000000001</v>
      </c>
      <c r="Z317">
        <v>2.226</v>
      </c>
    </row>
    <row r="318" spans="1:30" x14ac:dyDescent="0.25">
      <c r="A318" s="1" t="s">
        <v>263</v>
      </c>
      <c r="J318" t="str">
        <f t="shared" si="21"/>
        <v xml:space="preserve">        13.2        0.17      0.2875      0.1316      0.0790       0.273       1.915       2.229              </v>
      </c>
      <c r="S318">
        <v>13.2</v>
      </c>
      <c r="T318">
        <v>0.17</v>
      </c>
      <c r="U318">
        <v>0.28749999999999998</v>
      </c>
      <c r="V318">
        <v>0.13159999999999999</v>
      </c>
      <c r="W318">
        <v>7.9000000000000001E-2</v>
      </c>
      <c r="X318">
        <v>0.27300000000000002</v>
      </c>
      <c r="Y318">
        <v>1.915</v>
      </c>
      <c r="Z318">
        <v>2.2290000000000001</v>
      </c>
    </row>
    <row r="319" spans="1:30" x14ac:dyDescent="0.25">
      <c r="A319" s="1" t="s">
        <v>264</v>
      </c>
      <c r="J319" t="str">
        <f t="shared" si="21"/>
        <v xml:space="preserve">        16.5        0.22      0.3472      0.1318      0.0818       0.283       1.984       2.231              </v>
      </c>
      <c r="S319">
        <v>16.5</v>
      </c>
      <c r="T319">
        <v>0.22</v>
      </c>
      <c r="U319">
        <v>0.34720000000000001</v>
      </c>
      <c r="V319">
        <v>0.1318</v>
      </c>
      <c r="W319">
        <v>8.1799999999999998E-2</v>
      </c>
      <c r="X319">
        <v>0.28299999999999997</v>
      </c>
      <c r="Y319">
        <v>1.984</v>
      </c>
      <c r="Z319">
        <v>2.2309999999999999</v>
      </c>
    </row>
    <row r="320" spans="1:30" x14ac:dyDescent="0.25">
      <c r="A320" s="1" t="s">
        <v>265</v>
      </c>
      <c r="J320" t="str">
        <f t="shared" si="21"/>
        <v xml:space="preserve">        19.8        0.26      0.4030      0.1319      0.0847       0.293       2.053       2.233              </v>
      </c>
      <c r="S320">
        <v>19.8</v>
      </c>
      <c r="T320">
        <v>0.26</v>
      </c>
      <c r="U320">
        <v>0.40300000000000002</v>
      </c>
      <c r="V320">
        <v>0.13189999999999999</v>
      </c>
      <c r="W320">
        <v>8.4699999999999998E-2</v>
      </c>
      <c r="X320">
        <v>0.29299999999999998</v>
      </c>
      <c r="Y320">
        <v>2.0529999999999999</v>
      </c>
      <c r="Z320">
        <v>2.2330000000000001</v>
      </c>
    </row>
    <row r="321" spans="1:26" x14ac:dyDescent="0.25">
      <c r="A321" s="1" t="s">
        <v>266</v>
      </c>
      <c r="J321" t="str">
        <f t="shared" si="21"/>
        <v xml:space="preserve">        23.1        0.30      0.4540      0.1320      0.0877       0.304       2.127       2.234              </v>
      </c>
      <c r="S321">
        <v>23.1</v>
      </c>
      <c r="T321">
        <v>0.3</v>
      </c>
      <c r="U321">
        <v>0.45400000000000001</v>
      </c>
      <c r="V321">
        <v>0.13200000000000001</v>
      </c>
      <c r="W321">
        <v>8.77E-2</v>
      </c>
      <c r="X321">
        <v>0.30399999999999999</v>
      </c>
      <c r="Y321">
        <v>2.1269999999999998</v>
      </c>
      <c r="Z321">
        <v>2.234</v>
      </c>
    </row>
    <row r="322" spans="1:26" x14ac:dyDescent="0.25">
      <c r="A322" s="1" t="s">
        <v>267</v>
      </c>
      <c r="J322" t="str">
        <f t="shared" si="21"/>
        <v xml:space="preserve">        26.5        0.34      0.5009      0.1319      0.0908       0.314       2.202       2.233              </v>
      </c>
      <c r="S322">
        <v>26.5</v>
      </c>
      <c r="T322">
        <v>0.34</v>
      </c>
      <c r="U322">
        <v>0.50090000000000001</v>
      </c>
      <c r="V322">
        <v>0.13189999999999999</v>
      </c>
      <c r="W322">
        <v>9.0800000000000006E-2</v>
      </c>
      <c r="X322">
        <v>0.314</v>
      </c>
      <c r="Y322">
        <v>2.202</v>
      </c>
      <c r="Z322">
        <v>2.2330000000000001</v>
      </c>
    </row>
    <row r="323" spans="1:26" x14ac:dyDescent="0.25">
      <c r="A323" s="1" t="s">
        <v>268</v>
      </c>
      <c r="J323" t="str">
        <f t="shared" si="21"/>
        <v xml:space="preserve">        29.8        0.39      0.5440      0.1318      0.0940       0.325       2.278       2.231              </v>
      </c>
      <c r="S323">
        <v>29.8</v>
      </c>
      <c r="T323">
        <v>0.39</v>
      </c>
      <c r="U323">
        <v>0.54400000000000004</v>
      </c>
      <c r="V323">
        <v>0.1318</v>
      </c>
      <c r="W323">
        <v>9.4E-2</v>
      </c>
      <c r="X323">
        <v>0.32500000000000001</v>
      </c>
      <c r="Y323">
        <v>2.278</v>
      </c>
      <c r="Z323">
        <v>2.2309999999999999</v>
      </c>
    </row>
    <row r="324" spans="1:26" x14ac:dyDescent="0.25">
      <c r="A324" s="1" t="s">
        <v>269</v>
      </c>
      <c r="J324" t="str">
        <f t="shared" si="21"/>
        <v xml:space="preserve">        33.1        0.43      0.5836      0.1315      0.0971       0.336       2.354       2.225              </v>
      </c>
      <c r="S324">
        <v>33.1</v>
      </c>
      <c r="T324">
        <v>0.43</v>
      </c>
      <c r="U324">
        <v>0.58360000000000001</v>
      </c>
      <c r="V324">
        <v>0.13150000000000001</v>
      </c>
      <c r="W324">
        <v>9.7100000000000006E-2</v>
      </c>
      <c r="X324">
        <v>0.33600000000000002</v>
      </c>
      <c r="Y324">
        <v>2.3540000000000001</v>
      </c>
      <c r="Z324">
        <v>2.2250000000000001</v>
      </c>
    </row>
    <row r="325" spans="1:26" x14ac:dyDescent="0.25">
      <c r="A325" s="1" t="s">
        <v>270</v>
      </c>
      <c r="J325" t="str">
        <f t="shared" si="21"/>
        <v xml:space="preserve">        36.4        0.47      0.6200      0.1309      0.1001       0.347       2.428       2.216              </v>
      </c>
      <c r="S325">
        <v>36.4</v>
      </c>
      <c r="T325">
        <v>0.47</v>
      </c>
      <c r="U325">
        <v>0.62</v>
      </c>
      <c r="V325">
        <v>0.13089999999999999</v>
      </c>
      <c r="W325">
        <v>0.10009999999999999</v>
      </c>
      <c r="X325">
        <v>0.34699999999999998</v>
      </c>
      <c r="Y325">
        <v>2.4279999999999999</v>
      </c>
      <c r="Z325">
        <v>2.2160000000000002</v>
      </c>
    </row>
    <row r="326" spans="1:26" x14ac:dyDescent="0.25">
      <c r="A326" s="1" t="s">
        <v>271</v>
      </c>
      <c r="J326" t="str">
        <f t="shared" si="21"/>
        <v xml:space="preserve">        39.7        0.52      0.6534      0.1299      0.1028       0.356       2.493       2.198              </v>
      </c>
      <c r="S326">
        <v>39.700000000000003</v>
      </c>
      <c r="T326">
        <v>0.52</v>
      </c>
      <c r="U326">
        <v>0.65339999999999998</v>
      </c>
      <c r="V326">
        <v>0.12989999999999999</v>
      </c>
      <c r="W326">
        <v>0.1028</v>
      </c>
      <c r="X326">
        <v>0.35599999999999998</v>
      </c>
      <c r="Y326">
        <v>2.4929999999999999</v>
      </c>
      <c r="Z326">
        <v>2.198</v>
      </c>
    </row>
    <row r="327" spans="1:26" x14ac:dyDescent="0.25">
      <c r="A327" s="1" t="s">
        <v>272</v>
      </c>
      <c r="J327" t="str">
        <f t="shared" si="21"/>
        <v xml:space="preserve">        43.0        0.56      0.6845      0.1276      0.1045       0.362       2.533       2.160              </v>
      </c>
      <c r="S327">
        <v>43</v>
      </c>
      <c r="T327">
        <v>0.56000000000000005</v>
      </c>
      <c r="U327">
        <v>0.6845</v>
      </c>
      <c r="V327">
        <v>0.12759999999999999</v>
      </c>
      <c r="W327">
        <v>0.1045</v>
      </c>
      <c r="X327">
        <v>0.36199999999999999</v>
      </c>
      <c r="Y327">
        <v>2.5329999999999999</v>
      </c>
      <c r="Z327">
        <v>2.16</v>
      </c>
    </row>
    <row r="328" spans="1:26" x14ac:dyDescent="0.25">
      <c r="A328" s="1" t="s">
        <v>273</v>
      </c>
      <c r="J328" t="str">
        <f t="shared" si="21"/>
        <v xml:space="preserve">        46.3        0.60      0.7134      0.1239      0.1048       0.363       2.542       2.098              </v>
      </c>
      <c r="S328">
        <v>46.3</v>
      </c>
      <c r="T328">
        <v>0.6</v>
      </c>
      <c r="U328">
        <v>0.71340000000000003</v>
      </c>
      <c r="V328">
        <v>0.1239</v>
      </c>
      <c r="W328">
        <v>0.1048</v>
      </c>
      <c r="X328">
        <v>0.36299999999999999</v>
      </c>
      <c r="Y328">
        <v>2.5419999999999998</v>
      </c>
      <c r="Z328">
        <v>2.0979999999999999</v>
      </c>
    </row>
    <row r="329" spans="1:26" x14ac:dyDescent="0.25">
      <c r="A329" s="1" t="s">
        <v>274</v>
      </c>
      <c r="J329" t="str">
        <f t="shared" si="21"/>
        <v xml:space="preserve">        49.6        0.65      0.7396      0.1192      0.1042       0.361       2.527       2.018              </v>
      </c>
      <c r="S329">
        <v>49.6</v>
      </c>
      <c r="T329">
        <v>0.65</v>
      </c>
      <c r="U329">
        <v>0.73960000000000004</v>
      </c>
      <c r="V329">
        <v>0.1192</v>
      </c>
      <c r="W329">
        <v>0.1042</v>
      </c>
      <c r="X329">
        <v>0.36099999999999999</v>
      </c>
      <c r="Y329">
        <v>2.5270000000000001</v>
      </c>
      <c r="Z329">
        <v>2.0179999999999998</v>
      </c>
    </row>
    <row r="330" spans="1:26" x14ac:dyDescent="0.25">
      <c r="A330" s="1" t="s">
        <v>275</v>
      </c>
      <c r="J330" t="str">
        <f t="shared" si="21"/>
        <v xml:space="preserve">        52.9        0.69      0.7637      0.1135      0.1025       0.355       2.487       1.922              </v>
      </c>
      <c r="S330">
        <v>52.9</v>
      </c>
      <c r="T330">
        <v>0.69</v>
      </c>
      <c r="U330">
        <v>0.76370000000000005</v>
      </c>
      <c r="V330">
        <v>0.1135</v>
      </c>
      <c r="W330">
        <v>0.10249999999999999</v>
      </c>
      <c r="X330">
        <v>0.35499999999999998</v>
      </c>
      <c r="Y330">
        <v>2.4870000000000001</v>
      </c>
      <c r="Z330">
        <v>1.9219999999999999</v>
      </c>
    </row>
    <row r="331" spans="1:26" x14ac:dyDescent="0.25">
      <c r="A331" s="1" t="s">
        <v>276</v>
      </c>
      <c r="J331" t="str">
        <f t="shared" si="21"/>
        <v xml:space="preserve">        56.2        0.73      0.7861      0.1069      0.0996       0.345       2.416       1.809              </v>
      </c>
      <c r="S331">
        <v>56.2</v>
      </c>
      <c r="T331">
        <v>0.73</v>
      </c>
      <c r="U331">
        <v>0.78610000000000002</v>
      </c>
      <c r="V331">
        <v>0.1069</v>
      </c>
      <c r="W331">
        <v>9.9599999999999994E-2</v>
      </c>
      <c r="X331">
        <v>0.34499999999999997</v>
      </c>
      <c r="Y331">
        <v>2.4159999999999999</v>
      </c>
      <c r="Z331">
        <v>1.8089999999999999</v>
      </c>
    </row>
    <row r="332" spans="1:26" x14ac:dyDescent="0.25">
      <c r="A332" s="1" t="s">
        <v>277</v>
      </c>
      <c r="J332" t="str">
        <f t="shared" si="21"/>
        <v xml:space="preserve">        59.5        0.78      0.8070      0.0990      0.0952       0.330       2.307       1.675              </v>
      </c>
      <c r="S332">
        <v>59.5</v>
      </c>
      <c r="T332">
        <v>0.78</v>
      </c>
      <c r="U332">
        <v>0.80700000000000005</v>
      </c>
      <c r="V332">
        <v>9.9000000000000005E-2</v>
      </c>
      <c r="W332">
        <v>9.5200000000000007E-2</v>
      </c>
      <c r="X332">
        <v>0.33</v>
      </c>
      <c r="Y332">
        <v>2.3069999999999999</v>
      </c>
      <c r="Z332">
        <v>1.675</v>
      </c>
    </row>
    <row r="333" spans="1:26" x14ac:dyDescent="0.25">
      <c r="A333" s="1" t="s">
        <v>278</v>
      </c>
      <c r="J333" t="str">
        <f t="shared" si="21"/>
        <v xml:space="preserve">        62.8        0.82      0.8256      0.0909      0.0901       0.312       2.186       1.538              </v>
      </c>
      <c r="S333">
        <v>62.8</v>
      </c>
      <c r="T333">
        <v>0.82</v>
      </c>
      <c r="U333">
        <v>0.8256</v>
      </c>
      <c r="V333">
        <v>9.0899999999999995E-2</v>
      </c>
      <c r="W333">
        <v>9.01E-2</v>
      </c>
      <c r="X333">
        <v>0.312</v>
      </c>
      <c r="Y333">
        <v>2.1859999999999999</v>
      </c>
      <c r="Z333">
        <v>1.538</v>
      </c>
    </row>
    <row r="334" spans="1:26" x14ac:dyDescent="0.25">
      <c r="A334" s="1" t="s">
        <v>279</v>
      </c>
      <c r="J334" t="str">
        <f t="shared" si="21"/>
        <v xml:space="preserve">        66.1        0.86      0.8420      0.0826      0.0846       0.293       2.051       1.398              </v>
      </c>
      <c r="S334">
        <v>66.099999999999994</v>
      </c>
      <c r="T334">
        <v>0.86</v>
      </c>
      <c r="U334">
        <v>0.84199999999999997</v>
      </c>
      <c r="V334">
        <v>8.2600000000000007E-2</v>
      </c>
      <c r="W334">
        <v>8.4599999999999995E-2</v>
      </c>
      <c r="X334">
        <v>0.29299999999999998</v>
      </c>
      <c r="Y334">
        <v>2.0510000000000002</v>
      </c>
      <c r="Z334">
        <v>1.3979999999999999</v>
      </c>
    </row>
    <row r="335" spans="1:26" x14ac:dyDescent="0.25">
      <c r="A335" s="1" t="s">
        <v>280</v>
      </c>
      <c r="J335" t="str">
        <f t="shared" si="21"/>
        <v xml:space="preserve">        69.4        0.91      0.8559      0.0741      0.0784       0.271       1.900       1.254              </v>
      </c>
      <c r="S335">
        <v>69.400000000000006</v>
      </c>
      <c r="T335">
        <v>0.91</v>
      </c>
      <c r="U335">
        <v>0.85589999999999999</v>
      </c>
      <c r="V335">
        <v>7.4099999999999999E-2</v>
      </c>
      <c r="W335">
        <v>7.8399999999999997E-2</v>
      </c>
      <c r="X335">
        <v>0.27100000000000002</v>
      </c>
      <c r="Y335">
        <v>1.9</v>
      </c>
      <c r="Z335">
        <v>1.254</v>
      </c>
    </row>
    <row r="336" spans="1:26" x14ac:dyDescent="0.25">
      <c r="A336" s="1" t="s">
        <v>281</v>
      </c>
      <c r="J336" t="str">
        <f t="shared" si="21"/>
        <v xml:space="preserve">        72.7        0.95      0.8679      0.0654      0.0715       0.248       1.734       1.108              </v>
      </c>
      <c r="S336">
        <v>72.7</v>
      </c>
      <c r="T336">
        <v>0.95</v>
      </c>
      <c r="U336">
        <v>0.8679</v>
      </c>
      <c r="V336">
        <v>6.54E-2</v>
      </c>
      <c r="W336">
        <v>7.1499999999999994E-2</v>
      </c>
      <c r="X336">
        <v>0.248</v>
      </c>
      <c r="Y336">
        <v>1.734</v>
      </c>
      <c r="Z336">
        <v>1.1080000000000001</v>
      </c>
    </row>
    <row r="337" spans="1:34" x14ac:dyDescent="0.25">
      <c r="A337" s="1" t="s">
        <v>282</v>
      </c>
      <c r="J337" t="str">
        <f t="shared" si="21"/>
        <v xml:space="preserve">        76.1        0.99      0.8761      0.0566      0.0641       0.222       1.553       0.958              </v>
      </c>
      <c r="S337">
        <v>76.099999999999994</v>
      </c>
      <c r="T337">
        <v>0.99</v>
      </c>
      <c r="U337">
        <v>0.87609999999999999</v>
      </c>
      <c r="V337">
        <v>5.6599999999999998E-2</v>
      </c>
      <c r="W337">
        <v>6.4100000000000004E-2</v>
      </c>
      <c r="X337">
        <v>0.222</v>
      </c>
      <c r="Y337">
        <v>1.5529999999999999</v>
      </c>
      <c r="Z337">
        <v>0.95799999999999996</v>
      </c>
    </row>
    <row r="338" spans="1:34" x14ac:dyDescent="0.25">
      <c r="A338" s="1" t="s">
        <v>283</v>
      </c>
      <c r="J338" t="str">
        <f t="shared" si="21"/>
        <v xml:space="preserve">        79.4        1.03      0.8811      0.0476      0.0559       0.194       1.356       0.806              </v>
      </c>
      <c r="S338">
        <v>79.400000000000006</v>
      </c>
      <c r="T338">
        <v>1.03</v>
      </c>
      <c r="U338">
        <v>0.88109999999999999</v>
      </c>
      <c r="V338">
        <v>4.7600000000000003E-2</v>
      </c>
      <c r="W338">
        <v>5.5899999999999998E-2</v>
      </c>
      <c r="X338">
        <v>0.19400000000000001</v>
      </c>
      <c r="Y338">
        <v>1.3560000000000001</v>
      </c>
      <c r="Z338">
        <v>0.80600000000000005</v>
      </c>
    </row>
    <row r="339" spans="1:34" x14ac:dyDescent="0.25">
      <c r="A339" s="1" t="s">
        <v>284</v>
      </c>
      <c r="J339" t="str">
        <f t="shared" si="21"/>
        <v xml:space="preserve">        82.7        1.08      0.8823      0.0385      0.0470       0.163       1.139       0.651              </v>
      </c>
      <c r="S339">
        <v>82.7</v>
      </c>
      <c r="T339">
        <v>1.08</v>
      </c>
      <c r="U339">
        <v>0.88229999999999997</v>
      </c>
      <c r="V339">
        <v>3.85E-2</v>
      </c>
      <c r="W339">
        <v>4.7E-2</v>
      </c>
      <c r="X339">
        <v>0.16300000000000001</v>
      </c>
      <c r="Y339">
        <v>1.139</v>
      </c>
      <c r="Z339">
        <v>0.65100000000000002</v>
      </c>
    </row>
    <row r="340" spans="1:34" x14ac:dyDescent="0.25">
      <c r="A340" s="1" t="s">
        <v>285</v>
      </c>
      <c r="J340" t="str">
        <f t="shared" si="21"/>
        <v xml:space="preserve">        86.0        1.12      0.8737      0.0291      0.0373       0.129       0.904       0.492              </v>
      </c>
      <c r="S340">
        <v>86</v>
      </c>
      <c r="T340">
        <v>1.1200000000000001</v>
      </c>
      <c r="U340">
        <v>0.87370000000000003</v>
      </c>
      <c r="V340">
        <v>2.9100000000000001E-2</v>
      </c>
      <c r="W340">
        <v>3.73E-2</v>
      </c>
      <c r="X340">
        <v>0.129</v>
      </c>
      <c r="Y340">
        <v>0.90400000000000003</v>
      </c>
      <c r="Z340">
        <v>0.49199999999999999</v>
      </c>
    </row>
    <row r="341" spans="1:34" x14ac:dyDescent="0.25">
      <c r="A341" s="1" t="s">
        <v>286</v>
      </c>
      <c r="J341" t="str">
        <f t="shared" si="21"/>
        <v xml:space="preserve">        89.3        1.16      0.8457      0.0195      0.0269       0.093       0.651       0.330              </v>
      </c>
      <c r="S341">
        <v>89.3</v>
      </c>
      <c r="T341">
        <v>1.1599999999999999</v>
      </c>
      <c r="U341">
        <v>0.84570000000000001</v>
      </c>
      <c r="V341">
        <v>1.95E-2</v>
      </c>
      <c r="W341">
        <v>2.69E-2</v>
      </c>
      <c r="X341">
        <v>9.2999999999999999E-2</v>
      </c>
      <c r="Y341">
        <v>0.65100000000000002</v>
      </c>
      <c r="Z341">
        <v>0.33</v>
      </c>
    </row>
    <row r="342" spans="1:34" x14ac:dyDescent="0.25">
      <c r="A342" s="1" t="s">
        <v>287</v>
      </c>
      <c r="J342" t="str">
        <f t="shared" si="21"/>
        <v xml:space="preserve">        92.6        1.21      0.7502      0.0098      0.0158       0.055       0.383       0.166              </v>
      </c>
      <c r="S342">
        <v>92.6</v>
      </c>
      <c r="T342">
        <v>1.21</v>
      </c>
      <c r="U342">
        <v>0.75019999999999998</v>
      </c>
      <c r="V342">
        <v>9.7999999999999997E-3</v>
      </c>
      <c r="W342">
        <v>1.5800000000000002E-2</v>
      </c>
      <c r="X342">
        <v>5.5E-2</v>
      </c>
      <c r="Y342">
        <v>0.38300000000000001</v>
      </c>
      <c r="Z342">
        <v>0.16600000000000001</v>
      </c>
    </row>
    <row r="343" spans="1:34" x14ac:dyDescent="0.25">
      <c r="A343" s="1" t="s">
        <v>288</v>
      </c>
      <c r="J343" t="str">
        <f t="shared" si="21"/>
        <v xml:space="preserve">        95.9        1.25     -0.0079      0.0000      0.0045       0.016       0.109       0.000              </v>
      </c>
      <c r="S343">
        <v>95.9</v>
      </c>
      <c r="T343">
        <v>1.25</v>
      </c>
      <c r="U343">
        <v>-7.9000000000000008E-3</v>
      </c>
      <c r="V343">
        <v>0</v>
      </c>
      <c r="W343">
        <v>4.4999999999999997E-3</v>
      </c>
      <c r="X343">
        <v>1.6E-2</v>
      </c>
      <c r="Y343">
        <v>0.109</v>
      </c>
      <c r="Z343">
        <v>0</v>
      </c>
    </row>
    <row r="344" spans="1:34" x14ac:dyDescent="0.25">
      <c r="A344" s="1" t="s">
        <v>1</v>
      </c>
    </row>
    <row r="345" spans="1:34" x14ac:dyDescent="0.25">
      <c r="A345" s="1" t="s">
        <v>1</v>
      </c>
    </row>
    <row r="346" spans="1:34" x14ac:dyDescent="0.25">
      <c r="A346" s="1" t="s">
        <v>1</v>
      </c>
    </row>
    <row r="347" spans="1:34" x14ac:dyDescent="0.25">
      <c r="A347" s="1" t="s">
        <v>289</v>
      </c>
      <c r="S347">
        <v>10000</v>
      </c>
      <c r="AC347" t="str">
        <f>CONCATENATE($V$16,$AC$13,S347)</f>
        <v>Ct@10000</v>
      </c>
      <c r="AD347" s="3" t="str">
        <f>CONCATENATE($W$16,$AC$13,S347)</f>
        <v>Cp@10000</v>
      </c>
      <c r="AE347" s="3" t="str">
        <f>CONCATENATE($AF$16,$AC$13,S347)</f>
        <v>Kq@10000</v>
      </c>
    </row>
    <row r="348" spans="1:34" x14ac:dyDescent="0.25">
      <c r="A348" s="1" t="s">
        <v>1</v>
      </c>
    </row>
    <row r="349" spans="1:34" x14ac:dyDescent="0.25">
      <c r="A349" s="1" t="s">
        <v>9</v>
      </c>
      <c r="J349" t="str">
        <f>A349</f>
        <v xml:space="preserve">         V          J           Pe         Ct          Cp          PWR         Torque      Thrust             </v>
      </c>
      <c r="S349" t="s">
        <v>662</v>
      </c>
      <c r="T349" t="s">
        <v>663</v>
      </c>
      <c r="U349" t="s">
        <v>664</v>
      </c>
      <c r="V349" t="s">
        <v>665</v>
      </c>
      <c r="W349" t="s">
        <v>666</v>
      </c>
      <c r="X349" t="s">
        <v>667</v>
      </c>
      <c r="Y349" t="s">
        <v>668</v>
      </c>
      <c r="Z349" t="s">
        <v>669</v>
      </c>
      <c r="AF349" t="s">
        <v>702</v>
      </c>
      <c r="AG349" t="s">
        <v>698</v>
      </c>
      <c r="AH349" t="s">
        <v>700</v>
      </c>
    </row>
    <row r="350" spans="1:34" x14ac:dyDescent="0.25">
      <c r="A350" s="1" t="s">
        <v>10</v>
      </c>
      <c r="J350" t="str">
        <f t="shared" ref="J350:J380" si="22">A350</f>
        <v xml:space="preserve">       (mph)     (Adv Ratio)                                       (Hp)        (In-Lbf)     (Lbf)             </v>
      </c>
      <c r="S350" t="s">
        <v>670</v>
      </c>
      <c r="T350" t="s">
        <v>671</v>
      </c>
      <c r="X350" t="s">
        <v>672</v>
      </c>
      <c r="Y350" t="s">
        <v>673</v>
      </c>
      <c r="Z350" t="s">
        <v>674</v>
      </c>
      <c r="AF350" t="s">
        <v>703</v>
      </c>
      <c r="AG350" t="s">
        <v>699</v>
      </c>
      <c r="AH350" t="s">
        <v>699</v>
      </c>
    </row>
    <row r="351" spans="1:34" x14ac:dyDescent="0.25">
      <c r="A351" s="1" t="s">
        <v>290</v>
      </c>
      <c r="J351" t="str">
        <f t="shared" si="22"/>
        <v xml:space="preserve">         0.0        0.00      0.0000      0.1320      0.0785       0.373       2.350       2.759              </v>
      </c>
      <c r="S351">
        <v>0</v>
      </c>
      <c r="T351">
        <v>0</v>
      </c>
      <c r="U351">
        <v>0</v>
      </c>
      <c r="V351">
        <v>0.13200000000000001</v>
      </c>
      <c r="W351">
        <v>7.85E-2</v>
      </c>
      <c r="X351">
        <v>0.373</v>
      </c>
      <c r="Y351">
        <v>2.35</v>
      </c>
      <c r="Z351">
        <v>2.7589999999999999</v>
      </c>
      <c r="AF351">
        <f t="shared" ref="AF351:AF379" si="23">(Y351*(1/12))/(AG351*(($S$347*(1/60))^2)*($AJ$36*(1/12))^5)</f>
        <v>1.2492448954935365E-2</v>
      </c>
      <c r="AG351">
        <f t="shared" ref="AG351:AG379" si="24">Z351/(V351*(($S$347*(1/60))^2)*(($AJ$36*(1/12))^4))</f>
        <v>2.3781279461279462E-3</v>
      </c>
      <c r="AH351">
        <f>AVERAGE(AG351:AG379)</f>
        <v>2.3776056009933563E-3</v>
      </c>
    </row>
    <row r="352" spans="1:34" x14ac:dyDescent="0.25">
      <c r="A352" s="1" t="s">
        <v>291</v>
      </c>
      <c r="J352" t="str">
        <f t="shared" si="22"/>
        <v xml:space="preserve">         3.7        0.04      0.0709      0.1322      0.0803       0.382       2.405       2.763              </v>
      </c>
      <c r="S352">
        <v>3.7</v>
      </c>
      <c r="T352">
        <v>0.04</v>
      </c>
      <c r="U352">
        <v>7.0900000000000005E-2</v>
      </c>
      <c r="V352">
        <v>0.13220000000000001</v>
      </c>
      <c r="W352">
        <v>8.0299999999999996E-2</v>
      </c>
      <c r="X352">
        <v>0.38200000000000001</v>
      </c>
      <c r="Y352">
        <v>2.4049999999999998</v>
      </c>
      <c r="Z352">
        <v>2.7629999999999999</v>
      </c>
      <c r="AF352">
        <f t="shared" si="23"/>
        <v>1.2785659709655367E-2</v>
      </c>
      <c r="AG352">
        <f t="shared" si="24"/>
        <v>2.3779727685325266E-3</v>
      </c>
    </row>
    <row r="353" spans="1:33" x14ac:dyDescent="0.25">
      <c r="A353" s="1" t="s">
        <v>292</v>
      </c>
      <c r="J353" t="str">
        <f t="shared" si="22"/>
        <v xml:space="preserve">         7.3        0.09      0.1385      0.1324      0.0824       0.391       2.466       2.768              </v>
      </c>
      <c r="S353">
        <v>7.3</v>
      </c>
      <c r="T353">
        <v>0.09</v>
      </c>
      <c r="U353">
        <v>0.13850000000000001</v>
      </c>
      <c r="V353">
        <v>0.13239999999999999</v>
      </c>
      <c r="W353">
        <v>8.2400000000000001E-2</v>
      </c>
      <c r="X353">
        <v>0.39100000000000001</v>
      </c>
      <c r="Y353">
        <v>2.4660000000000002</v>
      </c>
      <c r="Z353">
        <v>2.7679999999999998</v>
      </c>
      <c r="AF353">
        <f t="shared" si="23"/>
        <v>1.3106069364161853E-2</v>
      </c>
      <c r="AG353">
        <f t="shared" si="24"/>
        <v>2.3786774085263513E-3</v>
      </c>
    </row>
    <row r="354" spans="1:33" x14ac:dyDescent="0.25">
      <c r="A354" s="1" t="s">
        <v>293</v>
      </c>
      <c r="J354" t="str">
        <f t="shared" si="22"/>
        <v xml:space="preserve">        11.0        0.13      0.2027      0.1327      0.0846       0.402       2.534       2.773              </v>
      </c>
      <c r="S354">
        <v>11</v>
      </c>
      <c r="T354">
        <v>0.13</v>
      </c>
      <c r="U354">
        <v>0.20269999999999999</v>
      </c>
      <c r="V354">
        <v>0.13270000000000001</v>
      </c>
      <c r="W354">
        <v>8.4599999999999995E-2</v>
      </c>
      <c r="X354">
        <v>0.40200000000000002</v>
      </c>
      <c r="Y354">
        <v>2.5339999999999998</v>
      </c>
      <c r="Z354">
        <v>2.7730000000000001</v>
      </c>
      <c r="AF354">
        <f t="shared" si="23"/>
        <v>1.3473646672276315E-2</v>
      </c>
      <c r="AG354">
        <f t="shared" si="24"/>
        <v>2.377586870970443E-3</v>
      </c>
    </row>
    <row r="355" spans="1:33" x14ac:dyDescent="0.25">
      <c r="A355" s="1" t="s">
        <v>294</v>
      </c>
      <c r="J355" t="str">
        <f t="shared" si="22"/>
        <v xml:space="preserve">        14.7        0.17      0.2633      0.1329      0.0870       0.413       2.605       2.778              </v>
      </c>
      <c r="S355">
        <v>14.7</v>
      </c>
      <c r="T355">
        <v>0.17</v>
      </c>
      <c r="U355">
        <v>0.26329999999999998</v>
      </c>
      <c r="V355">
        <v>0.13289999999999999</v>
      </c>
      <c r="W355">
        <v>8.6999999999999994E-2</v>
      </c>
      <c r="X355">
        <v>0.41299999999999998</v>
      </c>
      <c r="Y355">
        <v>2.605</v>
      </c>
      <c r="Z355">
        <v>2.778</v>
      </c>
      <c r="AF355">
        <f t="shared" si="23"/>
        <v>1.3847072234221261E-2</v>
      </c>
      <c r="AG355">
        <f t="shared" si="24"/>
        <v>2.3782894406822177E-3</v>
      </c>
    </row>
    <row r="356" spans="1:33" x14ac:dyDescent="0.25">
      <c r="A356" s="1" t="s">
        <v>295</v>
      </c>
      <c r="J356" t="str">
        <f t="shared" si="22"/>
        <v xml:space="preserve">        18.4        0.22      0.3204      0.1331      0.0895       0.425       2.679       2.782              </v>
      </c>
      <c r="S356">
        <v>18.399999999999999</v>
      </c>
      <c r="T356">
        <v>0.22</v>
      </c>
      <c r="U356">
        <v>0.32040000000000002</v>
      </c>
      <c r="V356">
        <v>0.1331</v>
      </c>
      <c r="W356">
        <v>8.9499999999999996E-2</v>
      </c>
      <c r="X356">
        <v>0.42499999999999999</v>
      </c>
      <c r="Y356">
        <v>2.6789999999999998</v>
      </c>
      <c r="Z356">
        <v>2.782</v>
      </c>
      <c r="AF356">
        <f t="shared" si="23"/>
        <v>1.424134914929307E-2</v>
      </c>
      <c r="AG356">
        <f t="shared" si="24"/>
        <v>2.3781350697053183E-3</v>
      </c>
    </row>
    <row r="357" spans="1:33" x14ac:dyDescent="0.25">
      <c r="A357" s="1" t="s">
        <v>296</v>
      </c>
      <c r="J357" t="str">
        <f t="shared" si="22"/>
        <v xml:space="preserve">        22.0        0.26      0.3742      0.1332      0.0920       0.437       2.756       2.785              </v>
      </c>
      <c r="S357">
        <v>22</v>
      </c>
      <c r="T357">
        <v>0.26</v>
      </c>
      <c r="U357">
        <v>0.37419999999999998</v>
      </c>
      <c r="V357">
        <v>0.13320000000000001</v>
      </c>
      <c r="W357">
        <v>9.1999999999999998E-2</v>
      </c>
      <c r="X357">
        <v>0.437</v>
      </c>
      <c r="Y357">
        <v>2.7559999999999998</v>
      </c>
      <c r="Z357">
        <v>2.7850000000000001</v>
      </c>
      <c r="AF357">
        <f t="shared" si="23"/>
        <v>1.4645888689407542E-2</v>
      </c>
      <c r="AG357">
        <f t="shared" si="24"/>
        <v>2.3789122455789122E-3</v>
      </c>
    </row>
    <row r="358" spans="1:33" x14ac:dyDescent="0.25">
      <c r="A358" s="1" t="s">
        <v>297</v>
      </c>
      <c r="J358" t="str">
        <f t="shared" si="22"/>
        <v xml:space="preserve">        25.7        0.30      0.4248      0.1333      0.0946       0.450       2.833       2.786              </v>
      </c>
      <c r="S358">
        <v>25.7</v>
      </c>
      <c r="T358">
        <v>0.3</v>
      </c>
      <c r="U358">
        <v>0.42480000000000001</v>
      </c>
      <c r="V358">
        <v>0.1333</v>
      </c>
      <c r="W358">
        <v>9.4600000000000004E-2</v>
      </c>
      <c r="X358">
        <v>0.45</v>
      </c>
      <c r="Y358">
        <v>2.8330000000000002</v>
      </c>
      <c r="Z358">
        <v>2.786</v>
      </c>
      <c r="AF358">
        <f t="shared" si="23"/>
        <v>1.506097551248305E-2</v>
      </c>
      <c r="AG358">
        <f t="shared" si="24"/>
        <v>2.3779811619571564E-3</v>
      </c>
    </row>
    <row r="359" spans="1:33" x14ac:dyDescent="0.25">
      <c r="A359" s="1" t="s">
        <v>298</v>
      </c>
      <c r="J359" t="str">
        <f t="shared" si="22"/>
        <v xml:space="preserve">        29.4        0.34      0.4724      0.1333      0.0973       0.462       2.912       2.786              </v>
      </c>
      <c r="S359">
        <v>29.4</v>
      </c>
      <c r="T359">
        <v>0.34</v>
      </c>
      <c r="U359">
        <v>0.47239999999999999</v>
      </c>
      <c r="V359">
        <v>0.1333</v>
      </c>
      <c r="W359">
        <v>9.7299999999999998E-2</v>
      </c>
      <c r="X359">
        <v>0.46200000000000002</v>
      </c>
      <c r="Y359">
        <v>2.9119999999999999</v>
      </c>
      <c r="Z359">
        <v>2.786</v>
      </c>
      <c r="AF359">
        <f t="shared" si="23"/>
        <v>1.5480960357342264E-2</v>
      </c>
      <c r="AG359">
        <f t="shared" si="24"/>
        <v>2.3779811619571564E-3</v>
      </c>
    </row>
    <row r="360" spans="1:33" x14ac:dyDescent="0.25">
      <c r="A360" s="1" t="s">
        <v>299</v>
      </c>
      <c r="J360" t="str">
        <f t="shared" si="22"/>
        <v xml:space="preserve">        33.1        0.39      0.5173      0.1332      0.0998       0.474       2.989       2.783              </v>
      </c>
      <c r="S360">
        <v>33.1</v>
      </c>
      <c r="T360">
        <v>0.39</v>
      </c>
      <c r="U360">
        <v>0.51729999999999998</v>
      </c>
      <c r="V360">
        <v>0.13320000000000001</v>
      </c>
      <c r="W360">
        <v>9.98E-2</v>
      </c>
      <c r="X360">
        <v>0.47399999999999998</v>
      </c>
      <c r="Y360">
        <v>2.9889999999999999</v>
      </c>
      <c r="Z360">
        <v>2.7829999999999999</v>
      </c>
      <c r="AF360">
        <f t="shared" si="23"/>
        <v>1.5895508444125048E-2</v>
      </c>
      <c r="AG360">
        <f t="shared" si="24"/>
        <v>2.377203870537204E-3</v>
      </c>
    </row>
    <row r="361" spans="1:33" x14ac:dyDescent="0.25">
      <c r="A361" s="1" t="s">
        <v>300</v>
      </c>
      <c r="J361" t="str">
        <f t="shared" si="22"/>
        <v xml:space="preserve">        36.7        0.43      0.5596      0.1329      0.1023       0.486       3.062       2.777              </v>
      </c>
      <c r="S361">
        <v>36.700000000000003</v>
      </c>
      <c r="T361">
        <v>0.43</v>
      </c>
      <c r="U361">
        <v>0.55959999999999999</v>
      </c>
      <c r="V361">
        <v>0.13289999999999999</v>
      </c>
      <c r="W361">
        <v>0.1023</v>
      </c>
      <c r="X361">
        <v>0.48599999999999999</v>
      </c>
      <c r="Y361">
        <v>3.0619999999999998</v>
      </c>
      <c r="Z361">
        <v>2.7770000000000001</v>
      </c>
      <c r="AF361">
        <f t="shared" si="23"/>
        <v>1.6282151002280636E-2</v>
      </c>
      <c r="AG361">
        <f t="shared" si="24"/>
        <v>2.377433324972829E-3</v>
      </c>
    </row>
    <row r="362" spans="1:33" x14ac:dyDescent="0.25">
      <c r="A362" s="1" t="s">
        <v>301</v>
      </c>
      <c r="J362" t="str">
        <f t="shared" si="22"/>
        <v xml:space="preserve">        40.4        0.47      0.5997      0.1323      0.1046       0.497       3.130       2.765              </v>
      </c>
      <c r="S362">
        <v>40.4</v>
      </c>
      <c r="T362">
        <v>0.47</v>
      </c>
      <c r="U362">
        <v>0.59970000000000001</v>
      </c>
      <c r="V362">
        <v>0.1323</v>
      </c>
      <c r="W362">
        <v>0.1046</v>
      </c>
      <c r="X362">
        <v>0.497</v>
      </c>
      <c r="Y362">
        <v>3.13</v>
      </c>
      <c r="Z362">
        <v>2.7650000000000001</v>
      </c>
      <c r="AF362">
        <f t="shared" si="23"/>
        <v>1.6640506329113923E-2</v>
      </c>
      <c r="AG362">
        <f t="shared" si="24"/>
        <v>2.3778953556731338E-3</v>
      </c>
    </row>
    <row r="363" spans="1:33" x14ac:dyDescent="0.25">
      <c r="A363" s="1" t="s">
        <v>302</v>
      </c>
      <c r="J363" t="str">
        <f t="shared" si="22"/>
        <v xml:space="preserve">        44.1        0.52      0.6376      0.1312      0.1064       0.506       3.186       2.743              </v>
      </c>
      <c r="S363">
        <v>44.1</v>
      </c>
      <c r="T363">
        <v>0.52</v>
      </c>
      <c r="U363">
        <v>0.63759999999999994</v>
      </c>
      <c r="V363">
        <v>0.13120000000000001</v>
      </c>
      <c r="W363">
        <v>0.10639999999999999</v>
      </c>
      <c r="X363">
        <v>0.50600000000000001</v>
      </c>
      <c r="Y363">
        <v>3.1859999999999999</v>
      </c>
      <c r="Z363">
        <v>2.7429999999999999</v>
      </c>
      <c r="AF363">
        <f t="shared" si="23"/>
        <v>1.693211811884798E-2</v>
      </c>
      <c r="AG363">
        <f t="shared" si="24"/>
        <v>2.3787533875338752E-3</v>
      </c>
    </row>
    <row r="364" spans="1:33" x14ac:dyDescent="0.25">
      <c r="A364" s="1" t="s">
        <v>303</v>
      </c>
      <c r="J364" t="str">
        <f t="shared" si="22"/>
        <v xml:space="preserve">        47.7        0.56      0.6736      0.1290      0.1073       0.510       3.211       2.696              </v>
      </c>
      <c r="S364">
        <v>47.7</v>
      </c>
      <c r="T364">
        <v>0.56000000000000005</v>
      </c>
      <c r="U364">
        <v>0.67359999999999998</v>
      </c>
      <c r="V364">
        <v>0.129</v>
      </c>
      <c r="W364">
        <v>0.10730000000000001</v>
      </c>
      <c r="X364">
        <v>0.51</v>
      </c>
      <c r="Y364">
        <v>3.2109999999999999</v>
      </c>
      <c r="Z364">
        <v>2.6960000000000002</v>
      </c>
      <c r="AF364">
        <f t="shared" si="23"/>
        <v>1.7071340257171119E-2</v>
      </c>
      <c r="AG364">
        <f t="shared" si="24"/>
        <v>2.377867355727821E-3</v>
      </c>
    </row>
    <row r="365" spans="1:33" x14ac:dyDescent="0.25">
      <c r="A365" s="1" t="s">
        <v>304</v>
      </c>
      <c r="J365" t="str">
        <f t="shared" si="22"/>
        <v xml:space="preserve">        51.4        0.60      0.7072      0.1252      0.1068       0.507       3.197       2.616              </v>
      </c>
      <c r="S365">
        <v>51.4</v>
      </c>
      <c r="T365">
        <v>0.6</v>
      </c>
      <c r="U365">
        <v>0.70720000000000005</v>
      </c>
      <c r="V365">
        <v>0.12520000000000001</v>
      </c>
      <c r="W365">
        <v>0.10680000000000001</v>
      </c>
      <c r="X365">
        <v>0.50700000000000001</v>
      </c>
      <c r="Y365">
        <v>3.1970000000000001</v>
      </c>
      <c r="Z365">
        <v>2.6160000000000001</v>
      </c>
      <c r="AF365">
        <f t="shared" si="23"/>
        <v>1.7000696568127756E-2</v>
      </c>
      <c r="AG365">
        <f t="shared" si="24"/>
        <v>2.3773375931842393E-3</v>
      </c>
    </row>
    <row r="366" spans="1:33" x14ac:dyDescent="0.25">
      <c r="A366" s="1" t="s">
        <v>305</v>
      </c>
      <c r="J366" t="str">
        <f t="shared" si="22"/>
        <v xml:space="preserve">        55.1        0.65      0.7368      0.1203      0.1055       0.501       3.159       2.514              </v>
      </c>
      <c r="S366">
        <v>55.1</v>
      </c>
      <c r="T366">
        <v>0.65</v>
      </c>
      <c r="U366">
        <v>0.73680000000000001</v>
      </c>
      <c r="V366">
        <v>0.1203</v>
      </c>
      <c r="W366">
        <v>0.1055</v>
      </c>
      <c r="X366">
        <v>0.501</v>
      </c>
      <c r="Y366">
        <v>3.1589999999999998</v>
      </c>
      <c r="Z366">
        <v>2.5139999999999998</v>
      </c>
      <c r="AF366">
        <f t="shared" si="23"/>
        <v>1.6796062052505972E-2</v>
      </c>
      <c r="AG366">
        <f t="shared" si="24"/>
        <v>2.3777001939595454E-3</v>
      </c>
    </row>
    <row r="367" spans="1:33" x14ac:dyDescent="0.25">
      <c r="A367" s="1" t="s">
        <v>306</v>
      </c>
      <c r="J367" t="str">
        <f t="shared" si="22"/>
        <v xml:space="preserve">        58.8        0.69      0.7631      0.1144      0.1034       0.491       3.095       2.392              </v>
      </c>
      <c r="S367">
        <v>58.8</v>
      </c>
      <c r="T367">
        <v>0.69</v>
      </c>
      <c r="U367">
        <v>0.7631</v>
      </c>
      <c r="V367">
        <v>0.1144</v>
      </c>
      <c r="W367">
        <v>0.10340000000000001</v>
      </c>
      <c r="X367">
        <v>0.49099999999999999</v>
      </c>
      <c r="Y367">
        <v>3.0950000000000002</v>
      </c>
      <c r="Z367">
        <v>2.3919999999999999</v>
      </c>
      <c r="AF367">
        <f t="shared" si="23"/>
        <v>1.6446859903381645E-2</v>
      </c>
      <c r="AG367">
        <f t="shared" si="24"/>
        <v>2.3789898989898992E-3</v>
      </c>
    </row>
    <row r="368" spans="1:33" x14ac:dyDescent="0.25">
      <c r="A368" s="1" t="s">
        <v>307</v>
      </c>
      <c r="J368" t="str">
        <f t="shared" si="22"/>
        <v xml:space="preserve">        62.4        0.73      0.7869      0.1076      0.1001       0.476       2.998       2.248              </v>
      </c>
      <c r="S368">
        <v>62.4</v>
      </c>
      <c r="T368">
        <v>0.73</v>
      </c>
      <c r="U368">
        <v>0.78690000000000004</v>
      </c>
      <c r="V368">
        <v>0.1076</v>
      </c>
      <c r="W368">
        <v>0.10009999999999999</v>
      </c>
      <c r="X368">
        <v>0.47599999999999998</v>
      </c>
      <c r="Y368">
        <v>2.9980000000000002</v>
      </c>
      <c r="Z368">
        <v>2.2480000000000002</v>
      </c>
      <c r="AF368">
        <f t="shared" si="23"/>
        <v>1.5944286279161727E-2</v>
      </c>
      <c r="AG368">
        <f t="shared" si="24"/>
        <v>2.3770673275505996E-3</v>
      </c>
    </row>
    <row r="369" spans="1:33" x14ac:dyDescent="0.25">
      <c r="A369" s="1" t="s">
        <v>308</v>
      </c>
      <c r="J369" t="str">
        <f t="shared" si="22"/>
        <v xml:space="preserve">        66.1        0.78      0.8083      0.0996      0.0955       0.454       2.860       2.081              </v>
      </c>
      <c r="S369">
        <v>66.099999999999994</v>
      </c>
      <c r="T369">
        <v>0.78</v>
      </c>
      <c r="U369">
        <v>0.80830000000000002</v>
      </c>
      <c r="V369">
        <v>9.9599999999999994E-2</v>
      </c>
      <c r="W369">
        <v>9.5500000000000002E-2</v>
      </c>
      <c r="X369">
        <v>0.45400000000000001</v>
      </c>
      <c r="Y369">
        <v>2.86</v>
      </c>
      <c r="Z369">
        <v>2.081</v>
      </c>
      <c r="AF369">
        <f t="shared" si="23"/>
        <v>1.5209354477014252E-2</v>
      </c>
      <c r="AG369">
        <f t="shared" si="24"/>
        <v>2.3772244533690323E-3</v>
      </c>
    </row>
    <row r="370" spans="1:33" x14ac:dyDescent="0.25">
      <c r="A370" s="1" t="s">
        <v>309</v>
      </c>
      <c r="J370" t="str">
        <f t="shared" si="22"/>
        <v xml:space="preserve">        69.8        0.82      0.8272      0.0914      0.0905       0.430       2.709       1.911              </v>
      </c>
      <c r="S370">
        <v>69.8</v>
      </c>
      <c r="T370">
        <v>0.82</v>
      </c>
      <c r="U370">
        <v>0.82720000000000005</v>
      </c>
      <c r="V370">
        <v>9.1399999999999995E-2</v>
      </c>
      <c r="W370">
        <v>9.0499999999999997E-2</v>
      </c>
      <c r="X370">
        <v>0.43</v>
      </c>
      <c r="Y370">
        <v>2.7090000000000001</v>
      </c>
      <c r="Z370">
        <v>1.911</v>
      </c>
      <c r="AF370">
        <f t="shared" si="23"/>
        <v>1.4396336996336995E-2</v>
      </c>
      <c r="AG370">
        <f t="shared" si="24"/>
        <v>2.3788767323121816E-3</v>
      </c>
    </row>
    <row r="371" spans="1:33" x14ac:dyDescent="0.25">
      <c r="A371" s="1" t="s">
        <v>310</v>
      </c>
      <c r="J371" t="str">
        <f t="shared" si="22"/>
        <v xml:space="preserve">        73.4        0.86      0.8440      0.0831      0.0849       0.403       2.540       1.737              </v>
      </c>
      <c r="S371">
        <v>73.400000000000006</v>
      </c>
      <c r="T371">
        <v>0.86</v>
      </c>
      <c r="U371">
        <v>0.84399999999999997</v>
      </c>
      <c r="V371">
        <v>8.3099999999999993E-2</v>
      </c>
      <c r="W371">
        <v>8.4900000000000003E-2</v>
      </c>
      <c r="X371">
        <v>0.40300000000000002</v>
      </c>
      <c r="Y371">
        <v>2.54</v>
      </c>
      <c r="Z371">
        <v>1.7370000000000001</v>
      </c>
      <c r="AF371">
        <f t="shared" si="23"/>
        <v>1.3501823066589905E-2</v>
      </c>
      <c r="AG371">
        <f t="shared" si="24"/>
        <v>2.3782430806257525E-3</v>
      </c>
    </row>
    <row r="372" spans="1:33" x14ac:dyDescent="0.25">
      <c r="A372" s="1" t="s">
        <v>311</v>
      </c>
      <c r="J372" t="str">
        <f t="shared" si="22"/>
        <v xml:space="preserve">        77.1        0.90      0.8583      0.0746      0.0786       0.373       2.354       1.559              </v>
      </c>
      <c r="S372">
        <v>77.099999999999994</v>
      </c>
      <c r="T372">
        <v>0.9</v>
      </c>
      <c r="U372">
        <v>0.85829999999999995</v>
      </c>
      <c r="V372">
        <v>7.46E-2</v>
      </c>
      <c r="W372">
        <v>7.8600000000000003E-2</v>
      </c>
      <c r="X372">
        <v>0.373</v>
      </c>
      <c r="Y372">
        <v>2.3540000000000001</v>
      </c>
      <c r="Z372">
        <v>1.5589999999999999</v>
      </c>
      <c r="AF372">
        <f t="shared" si="23"/>
        <v>1.251574371035564E-2</v>
      </c>
      <c r="AG372">
        <f t="shared" si="24"/>
        <v>2.3777420315758122E-3</v>
      </c>
    </row>
    <row r="373" spans="1:33" x14ac:dyDescent="0.25">
      <c r="A373" s="1" t="s">
        <v>312</v>
      </c>
      <c r="J373" t="str">
        <f t="shared" si="22"/>
        <v xml:space="preserve">        80.8        0.95      0.8707      0.0659      0.0717       0.341       2.147       1.376              </v>
      </c>
      <c r="S373">
        <v>80.8</v>
      </c>
      <c r="T373">
        <v>0.95</v>
      </c>
      <c r="U373">
        <v>0.87070000000000003</v>
      </c>
      <c r="V373">
        <v>6.59E-2</v>
      </c>
      <c r="W373">
        <v>7.17E-2</v>
      </c>
      <c r="X373">
        <v>0.34100000000000003</v>
      </c>
      <c r="Y373">
        <v>2.1469999999999998</v>
      </c>
      <c r="Z373">
        <v>1.3759999999999999</v>
      </c>
      <c r="AF373">
        <f t="shared" si="23"/>
        <v>1.14250080749354E-2</v>
      </c>
      <c r="AG373">
        <f t="shared" si="24"/>
        <v>2.3756938121733268E-3</v>
      </c>
    </row>
    <row r="374" spans="1:33" x14ac:dyDescent="0.25">
      <c r="A374" s="1" t="s">
        <v>313</v>
      </c>
      <c r="J374" t="str">
        <f t="shared" si="22"/>
        <v xml:space="preserve">        84.5        0.99      0.8797      0.0570      0.0642       0.305       1.921       1.191              </v>
      </c>
      <c r="S374">
        <v>84.5</v>
      </c>
      <c r="T374">
        <v>0.99</v>
      </c>
      <c r="U374">
        <v>0.87970000000000004</v>
      </c>
      <c r="V374">
        <v>5.7000000000000002E-2</v>
      </c>
      <c r="W374">
        <v>6.4199999999999993E-2</v>
      </c>
      <c r="X374">
        <v>0.30499999999999999</v>
      </c>
      <c r="Y374">
        <v>1.921</v>
      </c>
      <c r="Z374">
        <v>1.1910000000000001</v>
      </c>
      <c r="AF374">
        <f t="shared" si="23"/>
        <v>1.0215225300867619E-2</v>
      </c>
      <c r="AG374">
        <f t="shared" si="24"/>
        <v>2.3773567251461989E-3</v>
      </c>
    </row>
    <row r="375" spans="1:33" x14ac:dyDescent="0.25">
      <c r="A375" s="1" t="s">
        <v>314</v>
      </c>
      <c r="J375" t="str">
        <f t="shared" si="22"/>
        <v xml:space="preserve">        88.1        1.03      0.8854      0.0479      0.0560       0.266       1.675       1.001              </v>
      </c>
      <c r="S375">
        <v>88.1</v>
      </c>
      <c r="T375">
        <v>1.03</v>
      </c>
      <c r="U375">
        <v>0.88539999999999996</v>
      </c>
      <c r="V375">
        <v>4.7899999999999998E-2</v>
      </c>
      <c r="W375">
        <v>5.6000000000000001E-2</v>
      </c>
      <c r="X375">
        <v>0.26600000000000001</v>
      </c>
      <c r="Y375">
        <v>1.675</v>
      </c>
      <c r="Z375">
        <v>1.0009999999999999</v>
      </c>
      <c r="AF375">
        <f t="shared" si="23"/>
        <v>8.9058164058164052E-3</v>
      </c>
      <c r="AG375">
        <f t="shared" si="24"/>
        <v>2.3776942704708888E-3</v>
      </c>
    </row>
    <row r="376" spans="1:33" x14ac:dyDescent="0.25">
      <c r="A376" s="1" t="s">
        <v>315</v>
      </c>
      <c r="J376" t="str">
        <f t="shared" si="22"/>
        <v xml:space="preserve">        91.8        1.08      0.8873      0.0387      0.0469       0.223       1.405       0.808              </v>
      </c>
      <c r="S376">
        <v>91.8</v>
      </c>
      <c r="T376">
        <v>1.08</v>
      </c>
      <c r="U376">
        <v>0.88729999999999998</v>
      </c>
      <c r="V376">
        <v>3.8699999999999998E-2</v>
      </c>
      <c r="W376">
        <v>4.6899999999999997E-2</v>
      </c>
      <c r="X376">
        <v>0.223</v>
      </c>
      <c r="Y376">
        <v>1.405</v>
      </c>
      <c r="Z376">
        <v>0.80800000000000005</v>
      </c>
      <c r="AF376">
        <f t="shared" si="23"/>
        <v>7.4771039603960393E-3</v>
      </c>
      <c r="AG376">
        <f t="shared" si="24"/>
        <v>2.3755153603215624E-3</v>
      </c>
    </row>
    <row r="377" spans="1:33" x14ac:dyDescent="0.25">
      <c r="A377" s="1" t="s">
        <v>316</v>
      </c>
      <c r="J377" t="str">
        <f t="shared" si="22"/>
        <v xml:space="preserve">        95.5        1.12      0.8796      0.0292      0.0372       0.177       1.114       0.611              </v>
      </c>
      <c r="S377">
        <v>95.5</v>
      </c>
      <c r="T377">
        <v>1.1200000000000001</v>
      </c>
      <c r="U377">
        <v>0.87960000000000005</v>
      </c>
      <c r="V377">
        <v>2.92E-2</v>
      </c>
      <c r="W377">
        <v>3.7199999999999997E-2</v>
      </c>
      <c r="X377">
        <v>0.17699999999999999</v>
      </c>
      <c r="Y377">
        <v>1.1140000000000001</v>
      </c>
      <c r="Z377">
        <v>0.61099999999999999</v>
      </c>
      <c r="AF377">
        <f t="shared" si="23"/>
        <v>5.9154028005091834E-3</v>
      </c>
      <c r="AG377">
        <f t="shared" si="24"/>
        <v>2.3807610350076109E-3</v>
      </c>
    </row>
    <row r="378" spans="1:33" x14ac:dyDescent="0.25">
      <c r="A378" s="1" t="s">
        <v>317</v>
      </c>
      <c r="J378" t="str">
        <f t="shared" si="22"/>
        <v xml:space="preserve">        99.2        1.16      0.8528      0.0196      0.0268       0.127       0.801       0.410              </v>
      </c>
      <c r="S378">
        <v>99.2</v>
      </c>
      <c r="T378">
        <v>1.1599999999999999</v>
      </c>
      <c r="U378">
        <v>0.8528</v>
      </c>
      <c r="V378">
        <v>1.9599999999999999E-2</v>
      </c>
      <c r="W378">
        <v>2.6800000000000001E-2</v>
      </c>
      <c r="X378">
        <v>0.127</v>
      </c>
      <c r="Y378">
        <v>0.80100000000000005</v>
      </c>
      <c r="Z378">
        <v>0.41</v>
      </c>
      <c r="AF378">
        <f t="shared" si="23"/>
        <v>4.2546341463414634E-3</v>
      </c>
      <c r="AG378">
        <f t="shared" si="24"/>
        <v>2.3800453514739232E-3</v>
      </c>
    </row>
    <row r="379" spans="1:33" x14ac:dyDescent="0.25">
      <c r="A379" s="1" t="s">
        <v>318</v>
      </c>
      <c r="J379" t="str">
        <f t="shared" si="22"/>
        <v xml:space="preserve">       102.8        1.21      0.7599      0.0099      0.0157       0.074       0.469       0.206              </v>
      </c>
      <c r="S379">
        <v>102.8</v>
      </c>
      <c r="T379">
        <v>1.21</v>
      </c>
      <c r="U379">
        <v>0.75990000000000002</v>
      </c>
      <c r="V379">
        <v>9.9000000000000008E-3</v>
      </c>
      <c r="W379">
        <v>1.5699999999999999E-2</v>
      </c>
      <c r="X379">
        <v>7.3999999999999996E-2</v>
      </c>
      <c r="Y379">
        <v>0.46899999999999997</v>
      </c>
      <c r="Z379">
        <v>0.20599999999999999</v>
      </c>
      <c r="AF379">
        <f t="shared" si="23"/>
        <v>2.5043689320388353E-3</v>
      </c>
      <c r="AG379">
        <f t="shared" si="24"/>
        <v>2.3674971941638609E-3</v>
      </c>
    </row>
    <row r="380" spans="1:33" x14ac:dyDescent="0.25">
      <c r="A380" s="1" t="s">
        <v>319</v>
      </c>
      <c r="J380" t="str">
        <f t="shared" si="22"/>
        <v xml:space="preserve">       106.5        1.25     -0.0068      0.0000      0.0044       0.021       0.131       0.000              </v>
      </c>
      <c r="S380">
        <v>106.5</v>
      </c>
      <c r="T380">
        <v>1.25</v>
      </c>
      <c r="U380">
        <v>-6.7999999999999996E-3</v>
      </c>
      <c r="V380">
        <v>0</v>
      </c>
      <c r="W380">
        <v>4.4000000000000003E-3</v>
      </c>
      <c r="X380">
        <v>2.1000000000000001E-2</v>
      </c>
      <c r="Y380">
        <v>0.13100000000000001</v>
      </c>
      <c r="Z380">
        <v>0</v>
      </c>
    </row>
    <row r="381" spans="1:33" x14ac:dyDescent="0.25">
      <c r="A381" s="1" t="s">
        <v>1</v>
      </c>
    </row>
    <row r="382" spans="1:33" x14ac:dyDescent="0.25">
      <c r="A382" s="1" t="s">
        <v>1</v>
      </c>
    </row>
    <row r="383" spans="1:33" x14ac:dyDescent="0.25">
      <c r="A383" s="1" t="s">
        <v>1</v>
      </c>
    </row>
    <row r="384" spans="1:33" x14ac:dyDescent="0.25">
      <c r="A384" s="1" t="s">
        <v>320</v>
      </c>
      <c r="S384">
        <v>11000</v>
      </c>
      <c r="AC384" t="str">
        <f>CONCATENATE($V$16,$AC$13,S384)</f>
        <v>Ct@11000</v>
      </c>
    </row>
    <row r="385" spans="1:26" x14ac:dyDescent="0.25">
      <c r="A385" s="1" t="s">
        <v>1</v>
      </c>
    </row>
    <row r="386" spans="1:26" x14ac:dyDescent="0.25">
      <c r="A386" s="1" t="s">
        <v>9</v>
      </c>
      <c r="J386" t="str">
        <f>A386</f>
        <v xml:space="preserve">         V          J           Pe         Ct          Cp          PWR         Torque      Thrust             </v>
      </c>
      <c r="S386" t="s">
        <v>662</v>
      </c>
      <c r="T386" t="s">
        <v>663</v>
      </c>
      <c r="U386" t="s">
        <v>664</v>
      </c>
      <c r="V386" t="s">
        <v>665</v>
      </c>
      <c r="W386" t="s">
        <v>666</v>
      </c>
      <c r="X386" t="s">
        <v>667</v>
      </c>
      <c r="Y386" t="s">
        <v>668</v>
      </c>
      <c r="Z386" t="s">
        <v>669</v>
      </c>
    </row>
    <row r="387" spans="1:26" x14ac:dyDescent="0.25">
      <c r="A387" s="1" t="s">
        <v>10</v>
      </c>
      <c r="J387" t="str">
        <f t="shared" ref="J387:J417" si="25">A387</f>
        <v xml:space="preserve">       (mph)     (Adv Ratio)                                       (Hp)        (In-Lbf)     (Lbf)             </v>
      </c>
      <c r="S387" t="s">
        <v>670</v>
      </c>
      <c r="T387" t="s">
        <v>671</v>
      </c>
      <c r="X387" t="s">
        <v>672</v>
      </c>
      <c r="Y387" t="s">
        <v>673</v>
      </c>
      <c r="Z387" t="s">
        <v>674</v>
      </c>
    </row>
    <row r="388" spans="1:26" x14ac:dyDescent="0.25">
      <c r="A388" s="1" t="s">
        <v>321</v>
      </c>
      <c r="J388" t="str">
        <f t="shared" si="25"/>
        <v xml:space="preserve">         0.0        0.00      0.0000      0.1354      0.1107       0.700       4.009       3.425              </v>
      </c>
      <c r="S388">
        <v>0</v>
      </c>
      <c r="T388">
        <v>0</v>
      </c>
      <c r="U388">
        <v>0</v>
      </c>
      <c r="V388">
        <v>0.13539999999999999</v>
      </c>
      <c r="W388">
        <v>0.11070000000000001</v>
      </c>
      <c r="X388">
        <v>0.7</v>
      </c>
      <c r="Y388">
        <v>4.0090000000000003</v>
      </c>
      <c r="Z388">
        <v>3.4249999999999998</v>
      </c>
    </row>
    <row r="389" spans="1:26" x14ac:dyDescent="0.25">
      <c r="A389" s="1" t="s">
        <v>322</v>
      </c>
      <c r="J389" t="str">
        <f t="shared" si="25"/>
        <v xml:space="preserve">         4.0        0.04      0.0528      0.1357      0.1107       0.700       4.009       3.432              </v>
      </c>
      <c r="S389">
        <v>4</v>
      </c>
      <c r="T389">
        <v>0.04</v>
      </c>
      <c r="U389">
        <v>5.28E-2</v>
      </c>
      <c r="V389">
        <v>0.13569999999999999</v>
      </c>
      <c r="W389">
        <v>0.11070000000000001</v>
      </c>
      <c r="X389">
        <v>0.7</v>
      </c>
      <c r="Y389">
        <v>4.0090000000000003</v>
      </c>
      <c r="Z389">
        <v>3.4319999999999999</v>
      </c>
    </row>
    <row r="390" spans="1:26" x14ac:dyDescent="0.25">
      <c r="A390" s="1" t="s">
        <v>323</v>
      </c>
      <c r="J390" t="str">
        <f t="shared" si="25"/>
        <v xml:space="preserve">         8.1        0.09      0.1056      0.1359      0.1108       0.701       4.015       3.438              </v>
      </c>
      <c r="S390">
        <v>8.1</v>
      </c>
      <c r="T390">
        <v>0.09</v>
      </c>
      <c r="U390">
        <v>0.1056</v>
      </c>
      <c r="V390">
        <v>0.13589999999999999</v>
      </c>
      <c r="W390">
        <v>0.1108</v>
      </c>
      <c r="X390">
        <v>0.70099999999999996</v>
      </c>
      <c r="Y390">
        <v>4.0149999999999997</v>
      </c>
      <c r="Z390">
        <v>3.4380000000000002</v>
      </c>
    </row>
    <row r="391" spans="1:26" x14ac:dyDescent="0.25">
      <c r="A391" s="1" t="s">
        <v>324</v>
      </c>
      <c r="J391" t="str">
        <f t="shared" si="25"/>
        <v xml:space="preserve">        12.1        0.13      0.1584      0.1362      0.1111       0.702       4.024       3.445              </v>
      </c>
      <c r="S391">
        <v>12.1</v>
      </c>
      <c r="T391">
        <v>0.13</v>
      </c>
      <c r="U391">
        <v>0.15840000000000001</v>
      </c>
      <c r="V391">
        <v>0.13619999999999999</v>
      </c>
      <c r="W391">
        <v>0.1111</v>
      </c>
      <c r="X391">
        <v>0.70199999999999996</v>
      </c>
      <c r="Y391">
        <v>4.024</v>
      </c>
      <c r="Z391">
        <v>3.4449999999999998</v>
      </c>
    </row>
    <row r="392" spans="1:26" x14ac:dyDescent="0.25">
      <c r="A392" s="1" t="s">
        <v>325</v>
      </c>
      <c r="J392" t="str">
        <f t="shared" si="25"/>
        <v xml:space="preserve">        16.1        0.17      0.2109      0.1364      0.1114       0.704       4.036       3.450              </v>
      </c>
      <c r="S392">
        <v>16.100000000000001</v>
      </c>
      <c r="T392">
        <v>0.17</v>
      </c>
      <c r="U392">
        <v>0.2109</v>
      </c>
      <c r="V392">
        <v>0.13639999999999999</v>
      </c>
      <c r="W392">
        <v>0.1114</v>
      </c>
      <c r="X392">
        <v>0.70399999999999996</v>
      </c>
      <c r="Y392">
        <v>4.0359999999999996</v>
      </c>
      <c r="Z392">
        <v>3.45</v>
      </c>
    </row>
    <row r="393" spans="1:26" x14ac:dyDescent="0.25">
      <c r="A393" s="1" t="s">
        <v>326</v>
      </c>
      <c r="J393" t="str">
        <f t="shared" si="25"/>
        <v xml:space="preserve">        20.2        0.22      0.2631      0.1366      0.1117       0.706       4.048       3.454              </v>
      </c>
      <c r="S393">
        <v>20.2</v>
      </c>
      <c r="T393">
        <v>0.22</v>
      </c>
      <c r="U393">
        <v>0.2631</v>
      </c>
      <c r="V393">
        <v>0.1366</v>
      </c>
      <c r="W393">
        <v>0.11169999999999999</v>
      </c>
      <c r="X393">
        <v>0.70599999999999996</v>
      </c>
      <c r="Y393">
        <v>4.048</v>
      </c>
      <c r="Z393">
        <v>3.4540000000000002</v>
      </c>
    </row>
    <row r="394" spans="1:26" x14ac:dyDescent="0.25">
      <c r="A394" s="1" t="s">
        <v>327</v>
      </c>
      <c r="J394" t="str">
        <f t="shared" si="25"/>
        <v xml:space="preserve">        24.2        0.26      0.3148      0.1366      0.1121       0.709       4.062       3.455              </v>
      </c>
      <c r="S394">
        <v>24.2</v>
      </c>
      <c r="T394">
        <v>0.26</v>
      </c>
      <c r="U394">
        <v>0.31480000000000002</v>
      </c>
      <c r="V394">
        <v>0.1366</v>
      </c>
      <c r="W394">
        <v>0.11210000000000001</v>
      </c>
      <c r="X394">
        <v>0.70899999999999996</v>
      </c>
      <c r="Y394">
        <v>4.0620000000000003</v>
      </c>
      <c r="Z394">
        <v>3.4550000000000001</v>
      </c>
    </row>
    <row r="395" spans="1:26" x14ac:dyDescent="0.25">
      <c r="A395" s="1" t="s">
        <v>328</v>
      </c>
      <c r="J395" t="str">
        <f t="shared" si="25"/>
        <v xml:space="preserve">        28.3        0.30      0.3659      0.1366      0.1125       0.711       4.076       3.454              </v>
      </c>
      <c r="S395">
        <v>28.3</v>
      </c>
      <c r="T395">
        <v>0.3</v>
      </c>
      <c r="U395">
        <v>0.3659</v>
      </c>
      <c r="V395">
        <v>0.1366</v>
      </c>
      <c r="W395">
        <v>0.1125</v>
      </c>
      <c r="X395">
        <v>0.71099999999999997</v>
      </c>
      <c r="Y395">
        <v>4.0759999999999996</v>
      </c>
      <c r="Z395">
        <v>3.4540000000000002</v>
      </c>
    </row>
    <row r="396" spans="1:26" x14ac:dyDescent="0.25">
      <c r="A396" s="1" t="s">
        <v>329</v>
      </c>
      <c r="J396" t="str">
        <f t="shared" si="25"/>
        <v xml:space="preserve">        32.3        0.34      0.4164      0.1364      0.1129       0.714       4.088       3.450              </v>
      </c>
      <c r="S396">
        <v>32.299999999999997</v>
      </c>
      <c r="T396">
        <v>0.34</v>
      </c>
      <c r="U396">
        <v>0.41639999999999999</v>
      </c>
      <c r="V396">
        <v>0.13639999999999999</v>
      </c>
      <c r="W396">
        <v>0.1129</v>
      </c>
      <c r="X396">
        <v>0.71399999999999997</v>
      </c>
      <c r="Y396">
        <v>4.0880000000000001</v>
      </c>
      <c r="Z396">
        <v>3.45</v>
      </c>
    </row>
    <row r="397" spans="1:26" x14ac:dyDescent="0.25">
      <c r="A397" s="1" t="s">
        <v>330</v>
      </c>
      <c r="J397" t="str">
        <f t="shared" si="25"/>
        <v xml:space="preserve">        36.3        0.39      0.4662      0.1361      0.1131       0.715       4.099       3.442              </v>
      </c>
      <c r="S397">
        <v>36.299999999999997</v>
      </c>
      <c r="T397">
        <v>0.39</v>
      </c>
      <c r="U397">
        <v>0.4662</v>
      </c>
      <c r="V397">
        <v>0.1361</v>
      </c>
      <c r="W397">
        <v>0.11310000000000001</v>
      </c>
      <c r="X397">
        <v>0.71499999999999997</v>
      </c>
      <c r="Y397">
        <v>4.0990000000000002</v>
      </c>
      <c r="Z397">
        <v>3.4420000000000002</v>
      </c>
    </row>
    <row r="398" spans="1:26" x14ac:dyDescent="0.25">
      <c r="A398" s="1" t="s">
        <v>331</v>
      </c>
      <c r="J398" t="str">
        <f t="shared" si="25"/>
        <v xml:space="preserve">        40.4        0.43      0.5151      0.1356      0.1133       0.717       4.105       3.429              </v>
      </c>
      <c r="S398">
        <v>40.4</v>
      </c>
      <c r="T398">
        <v>0.43</v>
      </c>
      <c r="U398">
        <v>0.5151</v>
      </c>
      <c r="V398">
        <v>0.1356</v>
      </c>
      <c r="W398">
        <v>0.1133</v>
      </c>
      <c r="X398">
        <v>0.71699999999999997</v>
      </c>
      <c r="Y398">
        <v>4.1050000000000004</v>
      </c>
      <c r="Z398">
        <v>3.4289999999999998</v>
      </c>
    </row>
    <row r="399" spans="1:26" x14ac:dyDescent="0.25">
      <c r="A399" s="1" t="s">
        <v>332</v>
      </c>
      <c r="J399" t="str">
        <f t="shared" si="25"/>
        <v xml:space="preserve">        44.4        0.47      0.5630      0.1348      0.1134       0.717       4.107       3.408              </v>
      </c>
      <c r="S399">
        <v>44.4</v>
      </c>
      <c r="T399">
        <v>0.47</v>
      </c>
      <c r="U399">
        <v>0.56299999999999994</v>
      </c>
      <c r="V399">
        <v>0.1348</v>
      </c>
      <c r="W399">
        <v>0.1134</v>
      </c>
      <c r="X399">
        <v>0.71699999999999997</v>
      </c>
      <c r="Y399">
        <v>4.1070000000000002</v>
      </c>
      <c r="Z399">
        <v>3.4079999999999999</v>
      </c>
    </row>
    <row r="400" spans="1:26" x14ac:dyDescent="0.25">
      <c r="A400" s="1" t="s">
        <v>333</v>
      </c>
      <c r="J400" t="str">
        <f t="shared" si="25"/>
        <v xml:space="preserve">        48.4        0.52      0.6098      0.1335      0.1131       0.715       4.097       3.375              </v>
      </c>
      <c r="S400">
        <v>48.4</v>
      </c>
      <c r="T400">
        <v>0.52</v>
      </c>
      <c r="U400">
        <v>0.60980000000000001</v>
      </c>
      <c r="V400">
        <v>0.13350000000000001</v>
      </c>
      <c r="W400">
        <v>0.11310000000000001</v>
      </c>
      <c r="X400">
        <v>0.71499999999999997</v>
      </c>
      <c r="Y400">
        <v>4.0970000000000004</v>
      </c>
      <c r="Z400">
        <v>3.375</v>
      </c>
    </row>
    <row r="401" spans="1:26" x14ac:dyDescent="0.25">
      <c r="A401" s="1" t="s">
        <v>334</v>
      </c>
      <c r="J401" t="str">
        <f t="shared" si="25"/>
        <v xml:space="preserve">        52.5        0.56      0.6547      0.1311      0.1121       0.709       4.060       3.315              </v>
      </c>
      <c r="S401">
        <v>52.5</v>
      </c>
      <c r="T401">
        <v>0.56000000000000005</v>
      </c>
      <c r="U401">
        <v>0.65469999999999995</v>
      </c>
      <c r="V401">
        <v>0.13109999999999999</v>
      </c>
      <c r="W401">
        <v>0.11210000000000001</v>
      </c>
      <c r="X401">
        <v>0.70899999999999996</v>
      </c>
      <c r="Y401">
        <v>4.0599999999999996</v>
      </c>
      <c r="Z401">
        <v>3.3149999999999999</v>
      </c>
    </row>
    <row r="402" spans="1:26" x14ac:dyDescent="0.25">
      <c r="A402" s="1" t="s">
        <v>335</v>
      </c>
      <c r="J402" t="str">
        <f t="shared" si="25"/>
        <v xml:space="preserve">        56.5        0.60      0.6964      0.1270      0.1099       0.695       3.982       3.211              </v>
      </c>
      <c r="S402">
        <v>56.5</v>
      </c>
      <c r="T402">
        <v>0.6</v>
      </c>
      <c r="U402">
        <v>0.69640000000000002</v>
      </c>
      <c r="V402">
        <v>0.127</v>
      </c>
      <c r="W402">
        <v>0.1099</v>
      </c>
      <c r="X402">
        <v>0.69499999999999995</v>
      </c>
      <c r="Y402">
        <v>3.9820000000000002</v>
      </c>
      <c r="Z402">
        <v>3.2109999999999999</v>
      </c>
    </row>
    <row r="403" spans="1:26" x14ac:dyDescent="0.25">
      <c r="A403" s="1" t="s">
        <v>336</v>
      </c>
      <c r="J403" t="str">
        <f t="shared" si="25"/>
        <v xml:space="preserve">        60.6        0.65      0.7315      0.1217      0.1075       0.680       3.894       3.079              </v>
      </c>
      <c r="S403">
        <v>60.6</v>
      </c>
      <c r="T403">
        <v>0.65</v>
      </c>
      <c r="U403">
        <v>0.73150000000000004</v>
      </c>
      <c r="V403">
        <v>0.1217</v>
      </c>
      <c r="W403">
        <v>0.1075</v>
      </c>
      <c r="X403">
        <v>0.68</v>
      </c>
      <c r="Y403">
        <v>3.8940000000000001</v>
      </c>
      <c r="Z403">
        <v>3.0790000000000002</v>
      </c>
    </row>
    <row r="404" spans="1:26" x14ac:dyDescent="0.25">
      <c r="A404" s="1" t="s">
        <v>337</v>
      </c>
      <c r="J404" t="str">
        <f t="shared" si="25"/>
        <v xml:space="preserve">        64.6        0.69      0.7611      0.1156      0.1046       0.661       3.790       2.923              </v>
      </c>
      <c r="S404">
        <v>64.599999999999994</v>
      </c>
      <c r="T404">
        <v>0.69</v>
      </c>
      <c r="U404">
        <v>0.7611</v>
      </c>
      <c r="V404">
        <v>0.11559999999999999</v>
      </c>
      <c r="W404">
        <v>0.1046</v>
      </c>
      <c r="X404">
        <v>0.66100000000000003</v>
      </c>
      <c r="Y404">
        <v>3.79</v>
      </c>
      <c r="Z404">
        <v>2.923</v>
      </c>
    </row>
    <row r="405" spans="1:26" x14ac:dyDescent="0.25">
      <c r="A405" s="1" t="s">
        <v>338</v>
      </c>
      <c r="J405" t="str">
        <f t="shared" si="25"/>
        <v xml:space="preserve">        68.6        0.73      0.7867      0.1085      0.1009       0.638       3.656       2.744              </v>
      </c>
      <c r="S405">
        <v>68.599999999999994</v>
      </c>
      <c r="T405">
        <v>0.73</v>
      </c>
      <c r="U405">
        <v>0.78669999999999995</v>
      </c>
      <c r="V405">
        <v>0.1085</v>
      </c>
      <c r="W405">
        <v>0.1009</v>
      </c>
      <c r="X405">
        <v>0.63800000000000001</v>
      </c>
      <c r="Y405">
        <v>3.6560000000000001</v>
      </c>
      <c r="Z405">
        <v>2.7440000000000002</v>
      </c>
    </row>
    <row r="406" spans="1:26" x14ac:dyDescent="0.25">
      <c r="A406" s="1" t="s">
        <v>339</v>
      </c>
      <c r="J406" t="str">
        <f t="shared" si="25"/>
        <v xml:space="preserve">        72.7        0.78      0.8089      0.1003      0.0961       0.608       3.482       2.537              </v>
      </c>
      <c r="S406">
        <v>72.7</v>
      </c>
      <c r="T406">
        <v>0.78</v>
      </c>
      <c r="U406">
        <v>0.80889999999999995</v>
      </c>
      <c r="V406">
        <v>0.1003</v>
      </c>
      <c r="W406">
        <v>9.6100000000000005E-2</v>
      </c>
      <c r="X406">
        <v>0.60799999999999998</v>
      </c>
      <c r="Y406">
        <v>3.4820000000000002</v>
      </c>
      <c r="Z406">
        <v>2.5369999999999999</v>
      </c>
    </row>
    <row r="407" spans="1:26" x14ac:dyDescent="0.25">
      <c r="A407" s="1" t="s">
        <v>340</v>
      </c>
      <c r="J407" t="str">
        <f t="shared" si="25"/>
        <v xml:space="preserve">        76.7        0.82      0.8282      0.0921      0.0910       0.575       3.296       2.330              </v>
      </c>
      <c r="S407">
        <v>76.7</v>
      </c>
      <c r="T407">
        <v>0.82</v>
      </c>
      <c r="U407">
        <v>0.82820000000000005</v>
      </c>
      <c r="V407">
        <v>9.2100000000000001E-2</v>
      </c>
      <c r="W407">
        <v>9.0999999999999998E-2</v>
      </c>
      <c r="X407">
        <v>0.57499999999999996</v>
      </c>
      <c r="Y407">
        <v>3.2959999999999998</v>
      </c>
      <c r="Z407">
        <v>2.33</v>
      </c>
    </row>
    <row r="408" spans="1:26" x14ac:dyDescent="0.25">
      <c r="A408" s="1" t="s">
        <v>341</v>
      </c>
      <c r="J408" t="str">
        <f t="shared" si="25"/>
        <v xml:space="preserve">        80.7        0.86      0.8454      0.0837      0.0853       0.539       3.090       2.118              </v>
      </c>
      <c r="S408">
        <v>80.7</v>
      </c>
      <c r="T408">
        <v>0.86</v>
      </c>
      <c r="U408">
        <v>0.84540000000000004</v>
      </c>
      <c r="V408">
        <v>8.3699999999999997E-2</v>
      </c>
      <c r="W408">
        <v>8.5300000000000001E-2</v>
      </c>
      <c r="X408">
        <v>0.53900000000000003</v>
      </c>
      <c r="Y408">
        <v>3.09</v>
      </c>
      <c r="Z408">
        <v>2.1179999999999999</v>
      </c>
    </row>
    <row r="409" spans="1:26" x14ac:dyDescent="0.25">
      <c r="A409" s="1" t="s">
        <v>342</v>
      </c>
      <c r="J409" t="str">
        <f t="shared" si="25"/>
        <v xml:space="preserve">        84.8        0.90      0.8602      0.0751      0.0790       0.499       2.862       1.900              </v>
      </c>
      <c r="S409">
        <v>84.8</v>
      </c>
      <c r="T409">
        <v>0.9</v>
      </c>
      <c r="U409">
        <v>0.86019999999999996</v>
      </c>
      <c r="V409">
        <v>7.51E-2</v>
      </c>
      <c r="W409">
        <v>7.9000000000000001E-2</v>
      </c>
      <c r="X409">
        <v>0.499</v>
      </c>
      <c r="Y409">
        <v>2.8620000000000001</v>
      </c>
      <c r="Z409">
        <v>1.9</v>
      </c>
    </row>
    <row r="410" spans="1:26" x14ac:dyDescent="0.25">
      <c r="A410" s="1" t="s">
        <v>343</v>
      </c>
      <c r="J410" t="str">
        <f t="shared" si="25"/>
        <v xml:space="preserve">        88.8        0.95      0.8731      0.0664      0.0720       0.455       2.608       1.678              </v>
      </c>
      <c r="S410">
        <v>88.8</v>
      </c>
      <c r="T410">
        <v>0.95</v>
      </c>
      <c r="U410">
        <v>0.87309999999999999</v>
      </c>
      <c r="V410">
        <v>6.6400000000000001E-2</v>
      </c>
      <c r="W410">
        <v>7.1999999999999995E-2</v>
      </c>
      <c r="X410">
        <v>0.45500000000000002</v>
      </c>
      <c r="Y410">
        <v>2.6080000000000001</v>
      </c>
      <c r="Z410">
        <v>1.6779999999999999</v>
      </c>
    </row>
    <row r="411" spans="1:26" x14ac:dyDescent="0.25">
      <c r="A411" s="1" t="s">
        <v>344</v>
      </c>
      <c r="J411" t="str">
        <f t="shared" si="25"/>
        <v xml:space="preserve">        92.8        0.99      0.8829      0.0574      0.0644       0.407       2.333       1.452              </v>
      </c>
      <c r="S411">
        <v>92.8</v>
      </c>
      <c r="T411">
        <v>0.99</v>
      </c>
      <c r="U411">
        <v>0.88290000000000002</v>
      </c>
      <c r="V411">
        <v>5.74E-2</v>
      </c>
      <c r="W411">
        <v>6.4399999999999999E-2</v>
      </c>
      <c r="X411">
        <v>0.40699999999999997</v>
      </c>
      <c r="Y411">
        <v>2.3330000000000002</v>
      </c>
      <c r="Z411">
        <v>1.452</v>
      </c>
    </row>
    <row r="412" spans="1:26" x14ac:dyDescent="0.25">
      <c r="A412" s="1" t="s">
        <v>345</v>
      </c>
      <c r="J412" t="str">
        <f t="shared" si="25"/>
        <v xml:space="preserve">        96.9        1.03      0.8892      0.0483      0.0562       0.355       2.034       1.222              </v>
      </c>
      <c r="S412">
        <v>96.9</v>
      </c>
      <c r="T412">
        <v>1.03</v>
      </c>
      <c r="U412">
        <v>0.88919999999999999</v>
      </c>
      <c r="V412">
        <v>4.8300000000000003E-2</v>
      </c>
      <c r="W412">
        <v>5.62E-2</v>
      </c>
      <c r="X412">
        <v>0.35499999999999998</v>
      </c>
      <c r="Y412">
        <v>2.0339999999999998</v>
      </c>
      <c r="Z412">
        <v>1.222</v>
      </c>
    </row>
    <row r="413" spans="1:26" x14ac:dyDescent="0.25">
      <c r="A413" s="1" t="s">
        <v>346</v>
      </c>
      <c r="J413" t="str">
        <f t="shared" si="25"/>
        <v xml:space="preserve">       100.9        1.08      0.8920      0.0390      0.0471       0.298       1.706       0.987              </v>
      </c>
      <c r="S413">
        <v>100.9</v>
      </c>
      <c r="T413">
        <v>1.08</v>
      </c>
      <c r="U413">
        <v>0.89200000000000002</v>
      </c>
      <c r="V413">
        <v>3.9E-2</v>
      </c>
      <c r="W413">
        <v>4.7100000000000003E-2</v>
      </c>
      <c r="X413">
        <v>0.29799999999999999</v>
      </c>
      <c r="Y413">
        <v>1.706</v>
      </c>
      <c r="Z413">
        <v>0.98699999999999999</v>
      </c>
    </row>
    <row r="414" spans="1:26" x14ac:dyDescent="0.25">
      <c r="A414" s="1" t="s">
        <v>347</v>
      </c>
      <c r="J414" t="str">
        <f t="shared" si="25"/>
        <v xml:space="preserve">       105.0        1.12      0.8852      0.0295      0.0373       0.236       1.352       0.746              </v>
      </c>
      <c r="S414">
        <v>105</v>
      </c>
      <c r="T414">
        <v>1.1200000000000001</v>
      </c>
      <c r="U414">
        <v>0.88519999999999999</v>
      </c>
      <c r="V414">
        <v>2.9499999999999998E-2</v>
      </c>
      <c r="W414">
        <v>3.73E-2</v>
      </c>
      <c r="X414">
        <v>0.23599999999999999</v>
      </c>
      <c r="Y414">
        <v>1.3520000000000001</v>
      </c>
      <c r="Z414">
        <v>0.746</v>
      </c>
    </row>
    <row r="415" spans="1:26" x14ac:dyDescent="0.25">
      <c r="A415" s="1" t="s">
        <v>348</v>
      </c>
      <c r="J415" t="str">
        <f t="shared" si="25"/>
        <v xml:space="preserve">       109.0        1.16      0.8597      0.0198      0.0268       0.169       0.970       0.501              </v>
      </c>
      <c r="S415">
        <v>109</v>
      </c>
      <c r="T415">
        <v>1.1599999999999999</v>
      </c>
      <c r="U415">
        <v>0.85970000000000002</v>
      </c>
      <c r="V415">
        <v>1.9800000000000002E-2</v>
      </c>
      <c r="W415">
        <v>2.6800000000000001E-2</v>
      </c>
      <c r="X415">
        <v>0.16900000000000001</v>
      </c>
      <c r="Y415">
        <v>0.97</v>
      </c>
      <c r="Z415">
        <v>0.501</v>
      </c>
    </row>
    <row r="416" spans="1:26" x14ac:dyDescent="0.25">
      <c r="A416" s="1" t="s">
        <v>349</v>
      </c>
      <c r="J416" t="str">
        <f t="shared" si="25"/>
        <v xml:space="preserve">       113.0        1.21      0.7697      0.0100      0.0156       0.099       0.565       0.252              </v>
      </c>
      <c r="S416">
        <v>113</v>
      </c>
      <c r="T416">
        <v>1.21</v>
      </c>
      <c r="U416">
        <v>0.76970000000000005</v>
      </c>
      <c r="V416">
        <v>0.01</v>
      </c>
      <c r="W416">
        <v>1.5599999999999999E-2</v>
      </c>
      <c r="X416">
        <v>9.9000000000000005E-2</v>
      </c>
      <c r="Y416">
        <v>0.56499999999999995</v>
      </c>
      <c r="Z416">
        <v>0.252</v>
      </c>
    </row>
    <row r="417" spans="1:29" x14ac:dyDescent="0.25">
      <c r="A417" s="1" t="s">
        <v>350</v>
      </c>
      <c r="J417" t="str">
        <f t="shared" si="25"/>
        <v xml:space="preserve">       117.1        1.25     -0.0036      0.0000      0.0043       0.027       0.155       0.000              </v>
      </c>
      <c r="S417">
        <v>117.1</v>
      </c>
      <c r="T417">
        <v>1.25</v>
      </c>
      <c r="U417">
        <v>-3.5999999999999999E-3</v>
      </c>
      <c r="V417">
        <v>0</v>
      </c>
      <c r="W417">
        <v>4.3E-3</v>
      </c>
      <c r="X417">
        <v>2.7E-2</v>
      </c>
      <c r="Y417">
        <v>0.155</v>
      </c>
      <c r="Z417">
        <v>0</v>
      </c>
    </row>
    <row r="418" spans="1:29" x14ac:dyDescent="0.25">
      <c r="A418" s="1" t="s">
        <v>1</v>
      </c>
    </row>
    <row r="419" spans="1:29" x14ac:dyDescent="0.25">
      <c r="A419" s="1" t="s">
        <v>1</v>
      </c>
    </row>
    <row r="420" spans="1:29" x14ac:dyDescent="0.25">
      <c r="A420" s="1" t="s">
        <v>1</v>
      </c>
    </row>
    <row r="421" spans="1:29" x14ac:dyDescent="0.25">
      <c r="A421" s="1" t="s">
        <v>351</v>
      </c>
      <c r="S421">
        <v>12000</v>
      </c>
      <c r="AC421" t="str">
        <f>CONCATENATE($V$16,$AC$13,S421)</f>
        <v>Ct@12000</v>
      </c>
    </row>
    <row r="422" spans="1:29" x14ac:dyDescent="0.25">
      <c r="A422" s="1" t="s">
        <v>1</v>
      </c>
    </row>
    <row r="423" spans="1:29" x14ac:dyDescent="0.25">
      <c r="A423" s="1" t="s">
        <v>9</v>
      </c>
      <c r="J423" t="str">
        <f>A423</f>
        <v xml:space="preserve">         V          J           Pe         Ct          Cp          PWR         Torque      Thrust             </v>
      </c>
      <c r="S423" t="s">
        <v>662</v>
      </c>
      <c r="T423" t="s">
        <v>663</v>
      </c>
      <c r="U423" t="s">
        <v>664</v>
      </c>
      <c r="V423" t="s">
        <v>665</v>
      </c>
      <c r="W423" t="s">
        <v>666</v>
      </c>
      <c r="X423" t="s">
        <v>667</v>
      </c>
      <c r="Y423" t="s">
        <v>668</v>
      </c>
      <c r="Z423" t="s">
        <v>669</v>
      </c>
    </row>
    <row r="424" spans="1:29" x14ac:dyDescent="0.25">
      <c r="A424" s="1" t="s">
        <v>10</v>
      </c>
      <c r="J424" t="str">
        <f t="shared" ref="J424:J454" si="26">A424</f>
        <v xml:space="preserve">       (mph)     (Adv Ratio)                                       (Hp)        (In-Lbf)     (Lbf)             </v>
      </c>
      <c r="S424" t="s">
        <v>670</v>
      </c>
      <c r="T424" t="s">
        <v>671</v>
      </c>
      <c r="X424" t="s">
        <v>672</v>
      </c>
      <c r="Y424" t="s">
        <v>673</v>
      </c>
      <c r="Z424" t="s">
        <v>674</v>
      </c>
    </row>
    <row r="425" spans="1:29" x14ac:dyDescent="0.25">
      <c r="A425" s="1" t="s">
        <v>352</v>
      </c>
      <c r="J425" t="str">
        <f t="shared" si="26"/>
        <v xml:space="preserve">         0.0        0.00      0.0000      0.1387      0.1415       1.161       6.098       4.174              </v>
      </c>
      <c r="S425">
        <v>0</v>
      </c>
      <c r="T425">
        <v>0</v>
      </c>
      <c r="U425">
        <v>0</v>
      </c>
      <c r="V425">
        <v>0.13869999999999999</v>
      </c>
      <c r="W425">
        <v>0.14149999999999999</v>
      </c>
      <c r="X425">
        <v>1.161</v>
      </c>
      <c r="Y425">
        <v>6.0979999999999999</v>
      </c>
      <c r="Z425">
        <v>4.1740000000000004</v>
      </c>
    </row>
    <row r="426" spans="1:29" x14ac:dyDescent="0.25">
      <c r="A426" s="1" t="s">
        <v>353</v>
      </c>
      <c r="J426" t="str">
        <f t="shared" si="26"/>
        <v xml:space="preserve">         4.4        0.04      0.0428      0.1390      0.1398       1.147       6.027       4.183              </v>
      </c>
      <c r="S426">
        <v>4.4000000000000004</v>
      </c>
      <c r="T426">
        <v>0.04</v>
      </c>
      <c r="U426">
        <v>4.2799999999999998E-2</v>
      </c>
      <c r="V426">
        <v>0.13900000000000001</v>
      </c>
      <c r="W426">
        <v>0.13980000000000001</v>
      </c>
      <c r="X426">
        <v>1.147</v>
      </c>
      <c r="Y426">
        <v>6.0270000000000001</v>
      </c>
      <c r="Z426">
        <v>4.1829999999999998</v>
      </c>
    </row>
    <row r="427" spans="1:29" x14ac:dyDescent="0.25">
      <c r="A427" s="1" t="s">
        <v>354</v>
      </c>
      <c r="J427" t="str">
        <f t="shared" si="26"/>
        <v xml:space="preserve">         8.8        0.09      0.0868      0.1393      0.1382       1.135       5.959       4.191              </v>
      </c>
      <c r="S427">
        <v>8.8000000000000007</v>
      </c>
      <c r="T427">
        <v>0.09</v>
      </c>
      <c r="U427">
        <v>8.6800000000000002E-2</v>
      </c>
      <c r="V427">
        <v>0.13930000000000001</v>
      </c>
      <c r="W427">
        <v>0.13819999999999999</v>
      </c>
      <c r="X427">
        <v>1.135</v>
      </c>
      <c r="Y427">
        <v>5.9589999999999996</v>
      </c>
      <c r="Z427">
        <v>4.1909999999999998</v>
      </c>
    </row>
    <row r="428" spans="1:29" x14ac:dyDescent="0.25">
      <c r="A428" s="1" t="s">
        <v>355</v>
      </c>
      <c r="J428" t="str">
        <f t="shared" si="26"/>
        <v xml:space="preserve">        13.2        0.13      0.1319      0.1395      0.1366       1.121       5.889       4.199              </v>
      </c>
      <c r="S428">
        <v>13.2</v>
      </c>
      <c r="T428">
        <v>0.13</v>
      </c>
      <c r="U428">
        <v>0.13189999999999999</v>
      </c>
      <c r="V428">
        <v>0.13950000000000001</v>
      </c>
      <c r="W428">
        <v>0.1366</v>
      </c>
      <c r="X428">
        <v>1.121</v>
      </c>
      <c r="Y428">
        <v>5.8890000000000002</v>
      </c>
      <c r="Z428">
        <v>4.1989999999999998</v>
      </c>
    </row>
    <row r="429" spans="1:29" x14ac:dyDescent="0.25">
      <c r="A429" s="1" t="s">
        <v>356</v>
      </c>
      <c r="J429" t="str">
        <f t="shared" si="26"/>
        <v xml:space="preserve">        17.6        0.17      0.1783      0.1397      0.1350       1.108       5.820       4.206              </v>
      </c>
      <c r="S429">
        <v>17.600000000000001</v>
      </c>
      <c r="T429">
        <v>0.17</v>
      </c>
      <c r="U429">
        <v>0.17829999999999999</v>
      </c>
      <c r="V429">
        <v>0.13969999999999999</v>
      </c>
      <c r="W429">
        <v>0.13500000000000001</v>
      </c>
      <c r="X429">
        <v>1.1080000000000001</v>
      </c>
      <c r="Y429">
        <v>5.82</v>
      </c>
      <c r="Z429">
        <v>4.2060000000000004</v>
      </c>
    </row>
    <row r="430" spans="1:29" x14ac:dyDescent="0.25">
      <c r="A430" s="1" t="s">
        <v>357</v>
      </c>
      <c r="J430" t="str">
        <f t="shared" si="26"/>
        <v xml:space="preserve">        22.0        0.22      0.2258      0.1399      0.1333       1.094       5.748       4.209              </v>
      </c>
      <c r="S430">
        <v>22</v>
      </c>
      <c r="T430">
        <v>0.22</v>
      </c>
      <c r="U430">
        <v>0.2258</v>
      </c>
      <c r="V430">
        <v>0.1399</v>
      </c>
      <c r="W430">
        <v>0.1333</v>
      </c>
      <c r="X430">
        <v>1.0940000000000001</v>
      </c>
      <c r="Y430">
        <v>5.7480000000000002</v>
      </c>
      <c r="Z430">
        <v>4.2089999999999996</v>
      </c>
    </row>
    <row r="431" spans="1:29" x14ac:dyDescent="0.25">
      <c r="A431" s="1" t="s">
        <v>358</v>
      </c>
      <c r="J431" t="str">
        <f t="shared" si="26"/>
        <v xml:space="preserve">        26.4        0.26      0.2745      0.1399      0.1317       1.081       5.677       4.210              </v>
      </c>
      <c r="S431">
        <v>26.4</v>
      </c>
      <c r="T431">
        <v>0.26</v>
      </c>
      <c r="U431">
        <v>0.27450000000000002</v>
      </c>
      <c r="V431">
        <v>0.1399</v>
      </c>
      <c r="W431">
        <v>0.13170000000000001</v>
      </c>
      <c r="X431">
        <v>1.081</v>
      </c>
      <c r="Y431">
        <v>5.6769999999999996</v>
      </c>
      <c r="Z431">
        <v>4.21</v>
      </c>
    </row>
    <row r="432" spans="1:29" x14ac:dyDescent="0.25">
      <c r="A432" s="1" t="s">
        <v>359</v>
      </c>
      <c r="J432" t="str">
        <f t="shared" si="26"/>
        <v xml:space="preserve">        30.8        0.30      0.3241      0.1397      0.1299       1.067       5.602       4.206              </v>
      </c>
      <c r="S432">
        <v>30.8</v>
      </c>
      <c r="T432">
        <v>0.3</v>
      </c>
      <c r="U432">
        <v>0.3241</v>
      </c>
      <c r="V432">
        <v>0.13969999999999999</v>
      </c>
      <c r="W432">
        <v>0.12989999999999999</v>
      </c>
      <c r="X432">
        <v>1.0669999999999999</v>
      </c>
      <c r="Y432">
        <v>5.6020000000000003</v>
      </c>
      <c r="Z432">
        <v>4.2060000000000004</v>
      </c>
    </row>
    <row r="433" spans="1:26" x14ac:dyDescent="0.25">
      <c r="A433" s="1" t="s">
        <v>360</v>
      </c>
      <c r="J433" t="str">
        <f t="shared" si="26"/>
        <v xml:space="preserve">        35.2        0.34      0.3748      0.1394      0.1282       1.052       5.525       4.197              </v>
      </c>
      <c r="S433">
        <v>35.200000000000003</v>
      </c>
      <c r="T433">
        <v>0.34</v>
      </c>
      <c r="U433">
        <v>0.37480000000000002</v>
      </c>
      <c r="V433">
        <v>0.1394</v>
      </c>
      <c r="W433">
        <v>0.12820000000000001</v>
      </c>
      <c r="X433">
        <v>1.052</v>
      </c>
      <c r="Y433">
        <v>5.5250000000000004</v>
      </c>
      <c r="Z433">
        <v>4.1970000000000001</v>
      </c>
    </row>
    <row r="434" spans="1:26" x14ac:dyDescent="0.25">
      <c r="A434" s="1" t="s">
        <v>361</v>
      </c>
      <c r="J434" t="str">
        <f t="shared" si="26"/>
        <v xml:space="preserve">        39.6        0.39      0.4264      0.1390      0.1263       1.037       5.445       4.182              </v>
      </c>
      <c r="S434">
        <v>39.6</v>
      </c>
      <c r="T434">
        <v>0.39</v>
      </c>
      <c r="U434">
        <v>0.4264</v>
      </c>
      <c r="V434">
        <v>0.13900000000000001</v>
      </c>
      <c r="W434">
        <v>0.1263</v>
      </c>
      <c r="X434">
        <v>1.0369999999999999</v>
      </c>
      <c r="Y434">
        <v>5.4450000000000003</v>
      </c>
      <c r="Z434">
        <v>4.1820000000000004</v>
      </c>
    </row>
    <row r="435" spans="1:26" x14ac:dyDescent="0.25">
      <c r="A435" s="1" t="s">
        <v>362</v>
      </c>
      <c r="J435" t="str">
        <f t="shared" si="26"/>
        <v xml:space="preserve">        44.0        0.43      0.4787      0.1382      0.1243       1.020       5.360       4.160              </v>
      </c>
      <c r="S435">
        <v>44</v>
      </c>
      <c r="T435">
        <v>0.43</v>
      </c>
      <c r="U435">
        <v>0.47870000000000001</v>
      </c>
      <c r="V435">
        <v>0.13819999999999999</v>
      </c>
      <c r="W435">
        <v>0.12429999999999999</v>
      </c>
      <c r="X435">
        <v>1.02</v>
      </c>
      <c r="Y435">
        <v>5.36</v>
      </c>
      <c r="Z435">
        <v>4.16</v>
      </c>
    </row>
    <row r="436" spans="1:26" x14ac:dyDescent="0.25">
      <c r="A436" s="1" t="s">
        <v>363</v>
      </c>
      <c r="J436" t="str">
        <f t="shared" si="26"/>
        <v xml:space="preserve">        48.4        0.47      0.5315      0.1372      0.1222       1.003       5.269       4.128              </v>
      </c>
      <c r="S436">
        <v>48.4</v>
      </c>
      <c r="T436">
        <v>0.47</v>
      </c>
      <c r="U436">
        <v>0.53149999999999997</v>
      </c>
      <c r="V436">
        <v>0.13719999999999999</v>
      </c>
      <c r="W436">
        <v>0.1222</v>
      </c>
      <c r="X436">
        <v>1.0029999999999999</v>
      </c>
      <c r="Y436">
        <v>5.2690000000000001</v>
      </c>
      <c r="Z436">
        <v>4.1280000000000001</v>
      </c>
    </row>
    <row r="437" spans="1:26" x14ac:dyDescent="0.25">
      <c r="A437" s="1" t="s">
        <v>364</v>
      </c>
      <c r="J437" t="str">
        <f t="shared" si="26"/>
        <v xml:space="preserve">        52.8        0.52      0.5847      0.1356      0.1199       0.984       5.167       4.081              </v>
      </c>
      <c r="S437">
        <v>52.8</v>
      </c>
      <c r="T437">
        <v>0.52</v>
      </c>
      <c r="U437">
        <v>0.5847</v>
      </c>
      <c r="V437">
        <v>0.1356</v>
      </c>
      <c r="W437">
        <v>0.11990000000000001</v>
      </c>
      <c r="X437">
        <v>0.98399999999999999</v>
      </c>
      <c r="Y437">
        <v>5.1669999999999998</v>
      </c>
      <c r="Z437">
        <v>4.0810000000000004</v>
      </c>
    </row>
    <row r="438" spans="1:26" x14ac:dyDescent="0.25">
      <c r="A438" s="1" t="s">
        <v>365</v>
      </c>
      <c r="J438" t="str">
        <f t="shared" si="26"/>
        <v xml:space="preserve">        57.3        0.56      0.6367      0.1331      0.1171       0.961       5.046       4.007              </v>
      </c>
      <c r="S438">
        <v>57.3</v>
      </c>
      <c r="T438">
        <v>0.56000000000000005</v>
      </c>
      <c r="U438">
        <v>0.63670000000000004</v>
      </c>
      <c r="V438">
        <v>0.1331</v>
      </c>
      <c r="W438">
        <v>0.1171</v>
      </c>
      <c r="X438">
        <v>0.96099999999999997</v>
      </c>
      <c r="Y438">
        <v>5.0460000000000003</v>
      </c>
      <c r="Z438">
        <v>4.0069999999999997</v>
      </c>
    </row>
    <row r="439" spans="1:26" x14ac:dyDescent="0.25">
      <c r="A439" s="1" t="s">
        <v>366</v>
      </c>
      <c r="J439" t="str">
        <f t="shared" si="26"/>
        <v xml:space="preserve">        61.7        0.60      0.6857      0.1288      0.1132       0.929       4.881       3.876              </v>
      </c>
      <c r="S439">
        <v>61.7</v>
      </c>
      <c r="T439">
        <v>0.6</v>
      </c>
      <c r="U439">
        <v>0.68569999999999998</v>
      </c>
      <c r="V439">
        <v>0.1288</v>
      </c>
      <c r="W439">
        <v>0.1132</v>
      </c>
      <c r="X439">
        <v>0.92900000000000005</v>
      </c>
      <c r="Y439">
        <v>4.8810000000000002</v>
      </c>
      <c r="Z439">
        <v>3.8759999999999999</v>
      </c>
    </row>
    <row r="440" spans="1:26" x14ac:dyDescent="0.25">
      <c r="A440" s="1" t="s">
        <v>367</v>
      </c>
      <c r="J440" t="str">
        <f t="shared" si="26"/>
        <v xml:space="preserve">        66.1        0.65      0.7264      0.1232      0.1096       0.899       4.723       3.709              </v>
      </c>
      <c r="S440">
        <v>66.099999999999994</v>
      </c>
      <c r="T440">
        <v>0.65</v>
      </c>
      <c r="U440">
        <v>0.72640000000000005</v>
      </c>
      <c r="V440">
        <v>0.1232</v>
      </c>
      <c r="W440">
        <v>0.1096</v>
      </c>
      <c r="X440">
        <v>0.89900000000000002</v>
      </c>
      <c r="Y440">
        <v>4.7229999999999999</v>
      </c>
      <c r="Z440">
        <v>3.7090000000000001</v>
      </c>
    </row>
    <row r="441" spans="1:26" x14ac:dyDescent="0.25">
      <c r="A441" s="1" t="s">
        <v>368</v>
      </c>
      <c r="J441" t="str">
        <f t="shared" si="26"/>
        <v xml:space="preserve">        70.5        0.69      0.7593      0.1168      0.1059       0.870       4.567       3.514              </v>
      </c>
      <c r="S441">
        <v>70.5</v>
      </c>
      <c r="T441">
        <v>0.69</v>
      </c>
      <c r="U441">
        <v>0.75929999999999997</v>
      </c>
      <c r="V441">
        <v>0.1168</v>
      </c>
      <c r="W441">
        <v>0.10589999999999999</v>
      </c>
      <c r="X441">
        <v>0.87</v>
      </c>
      <c r="Y441">
        <v>4.5670000000000002</v>
      </c>
      <c r="Z441">
        <v>3.5139999999999998</v>
      </c>
    </row>
    <row r="442" spans="1:26" x14ac:dyDescent="0.25">
      <c r="A442" s="1" t="s">
        <v>369</v>
      </c>
      <c r="J442" t="str">
        <f t="shared" si="26"/>
        <v xml:space="preserve">        74.9        0.73      0.7866      0.1094      0.1018       0.835       4.388       3.292              </v>
      </c>
      <c r="S442">
        <v>74.900000000000006</v>
      </c>
      <c r="T442">
        <v>0.73</v>
      </c>
      <c r="U442">
        <v>0.78659999999999997</v>
      </c>
      <c r="V442">
        <v>0.1094</v>
      </c>
      <c r="W442">
        <v>0.1018</v>
      </c>
      <c r="X442">
        <v>0.83499999999999996</v>
      </c>
      <c r="Y442">
        <v>4.3879999999999999</v>
      </c>
      <c r="Z442">
        <v>3.2919999999999998</v>
      </c>
    </row>
    <row r="443" spans="1:26" x14ac:dyDescent="0.25">
      <c r="A443" s="1" t="s">
        <v>370</v>
      </c>
      <c r="J443" t="str">
        <f t="shared" si="26"/>
        <v xml:space="preserve">        79.3        0.78      0.8096      0.1010      0.0967       0.794       4.170       3.041              </v>
      </c>
      <c r="S443">
        <v>79.3</v>
      </c>
      <c r="T443">
        <v>0.78</v>
      </c>
      <c r="U443">
        <v>0.80959999999999999</v>
      </c>
      <c r="V443">
        <v>0.10100000000000001</v>
      </c>
      <c r="W443">
        <v>9.6699999999999994E-2</v>
      </c>
      <c r="X443">
        <v>0.79400000000000004</v>
      </c>
      <c r="Y443">
        <v>4.17</v>
      </c>
      <c r="Z443">
        <v>3.0409999999999999</v>
      </c>
    </row>
    <row r="444" spans="1:26" x14ac:dyDescent="0.25">
      <c r="A444" s="1" t="s">
        <v>371</v>
      </c>
      <c r="J444" t="str">
        <f t="shared" si="26"/>
        <v xml:space="preserve">        83.7        0.82      0.8292      0.0928      0.0915       0.751       3.946       2.792              </v>
      </c>
      <c r="S444">
        <v>83.7</v>
      </c>
      <c r="T444">
        <v>0.82</v>
      </c>
      <c r="U444">
        <v>0.82920000000000005</v>
      </c>
      <c r="V444">
        <v>9.2799999999999994E-2</v>
      </c>
      <c r="W444">
        <v>9.1499999999999998E-2</v>
      </c>
      <c r="X444">
        <v>0.751</v>
      </c>
      <c r="Y444">
        <v>3.9460000000000002</v>
      </c>
      <c r="Z444">
        <v>2.7919999999999998</v>
      </c>
    </row>
    <row r="445" spans="1:26" x14ac:dyDescent="0.25">
      <c r="A445" s="1" t="s">
        <v>372</v>
      </c>
      <c r="J445" t="str">
        <f t="shared" si="26"/>
        <v xml:space="preserve">        88.1        0.86      0.8467      0.0843      0.0858       0.704       3.697       2.537              </v>
      </c>
      <c r="S445">
        <v>88.1</v>
      </c>
      <c r="T445">
        <v>0.86</v>
      </c>
      <c r="U445">
        <v>0.84670000000000001</v>
      </c>
      <c r="V445">
        <v>8.43E-2</v>
      </c>
      <c r="W445">
        <v>8.5800000000000001E-2</v>
      </c>
      <c r="X445">
        <v>0.70399999999999996</v>
      </c>
      <c r="Y445">
        <v>3.6970000000000001</v>
      </c>
      <c r="Z445">
        <v>2.5369999999999999</v>
      </c>
    </row>
    <row r="446" spans="1:26" x14ac:dyDescent="0.25">
      <c r="A446" s="1" t="s">
        <v>373</v>
      </c>
      <c r="J446" t="str">
        <f t="shared" si="26"/>
        <v xml:space="preserve">        92.5        0.90      0.8620      0.0757      0.0794       0.651       3.422       2.277              </v>
      </c>
      <c r="S446">
        <v>92.5</v>
      </c>
      <c r="T446">
        <v>0.9</v>
      </c>
      <c r="U446">
        <v>0.86199999999999999</v>
      </c>
      <c r="V446">
        <v>7.5700000000000003E-2</v>
      </c>
      <c r="W446">
        <v>7.9399999999999998E-2</v>
      </c>
      <c r="X446">
        <v>0.65100000000000002</v>
      </c>
      <c r="Y446">
        <v>3.4220000000000002</v>
      </c>
      <c r="Z446">
        <v>2.2770000000000001</v>
      </c>
    </row>
    <row r="447" spans="1:26" x14ac:dyDescent="0.25">
      <c r="A447" s="1" t="s">
        <v>374</v>
      </c>
      <c r="J447" t="str">
        <f t="shared" si="26"/>
        <v xml:space="preserve">        96.9        0.95      0.8754      0.0668      0.0723       0.593       3.117       2.011              </v>
      </c>
      <c r="S447">
        <v>96.9</v>
      </c>
      <c r="T447">
        <v>0.95</v>
      </c>
      <c r="U447">
        <v>0.87539999999999996</v>
      </c>
      <c r="V447">
        <v>6.6799999999999998E-2</v>
      </c>
      <c r="W447">
        <v>7.2300000000000003E-2</v>
      </c>
      <c r="X447">
        <v>0.59299999999999997</v>
      </c>
      <c r="Y447">
        <v>3.117</v>
      </c>
      <c r="Z447">
        <v>2.0110000000000001</v>
      </c>
    </row>
    <row r="448" spans="1:26" x14ac:dyDescent="0.25">
      <c r="A448" s="1" t="s">
        <v>375</v>
      </c>
      <c r="J448" t="str">
        <f t="shared" si="26"/>
        <v xml:space="preserve">       101.3        0.99      0.8858      0.0578      0.0646       0.530       2.786       1.740              </v>
      </c>
      <c r="S448">
        <v>101.3</v>
      </c>
      <c r="T448">
        <v>0.99</v>
      </c>
      <c r="U448">
        <v>0.88580000000000003</v>
      </c>
      <c r="V448">
        <v>5.7799999999999997E-2</v>
      </c>
      <c r="W448">
        <v>6.4600000000000005E-2</v>
      </c>
      <c r="X448">
        <v>0.53</v>
      </c>
      <c r="Y448">
        <v>2.786</v>
      </c>
      <c r="Z448">
        <v>1.74</v>
      </c>
    </row>
    <row r="449" spans="1:29" x14ac:dyDescent="0.25">
      <c r="A449" s="1" t="s">
        <v>376</v>
      </c>
      <c r="J449" t="str">
        <f t="shared" si="26"/>
        <v xml:space="preserve">       105.7        1.03      0.8928      0.0486      0.0563       0.462       2.425       1.463              </v>
      </c>
      <c r="S449">
        <v>105.7</v>
      </c>
      <c r="T449">
        <v>1.03</v>
      </c>
      <c r="U449">
        <v>0.89280000000000004</v>
      </c>
      <c r="V449">
        <v>4.8599999999999997E-2</v>
      </c>
      <c r="W449">
        <v>5.6300000000000003E-2</v>
      </c>
      <c r="X449">
        <v>0.46200000000000002</v>
      </c>
      <c r="Y449">
        <v>2.4249999999999998</v>
      </c>
      <c r="Z449">
        <v>1.4630000000000001</v>
      </c>
    </row>
    <row r="450" spans="1:29" x14ac:dyDescent="0.25">
      <c r="A450" s="1" t="s">
        <v>377</v>
      </c>
      <c r="J450" t="str">
        <f t="shared" si="26"/>
        <v xml:space="preserve">       110.1        1.08      0.8962      0.0392      0.0471       0.387       2.031       1.180              </v>
      </c>
      <c r="S450">
        <v>110.1</v>
      </c>
      <c r="T450">
        <v>1.08</v>
      </c>
      <c r="U450">
        <v>0.8962</v>
      </c>
      <c r="V450">
        <v>3.9199999999999999E-2</v>
      </c>
      <c r="W450">
        <v>4.7100000000000003E-2</v>
      </c>
      <c r="X450">
        <v>0.38700000000000001</v>
      </c>
      <c r="Y450">
        <v>2.0310000000000001</v>
      </c>
      <c r="Z450">
        <v>1.18</v>
      </c>
    </row>
    <row r="451" spans="1:29" x14ac:dyDescent="0.25">
      <c r="A451" s="1" t="s">
        <v>378</v>
      </c>
      <c r="J451" t="str">
        <f t="shared" si="26"/>
        <v xml:space="preserve">       114.5        1.12      0.8901      0.0296      0.0373       0.306       1.606       0.891              </v>
      </c>
      <c r="S451">
        <v>114.5</v>
      </c>
      <c r="T451">
        <v>1.1200000000000001</v>
      </c>
      <c r="U451">
        <v>0.8901</v>
      </c>
      <c r="V451">
        <v>2.9600000000000001E-2</v>
      </c>
      <c r="W451">
        <v>3.73E-2</v>
      </c>
      <c r="X451">
        <v>0.30599999999999999</v>
      </c>
      <c r="Y451">
        <v>1.6060000000000001</v>
      </c>
      <c r="Z451">
        <v>0.89100000000000001</v>
      </c>
    </row>
    <row r="452" spans="1:29" x14ac:dyDescent="0.25">
      <c r="A452" s="1" t="s">
        <v>379</v>
      </c>
      <c r="J452" t="str">
        <f t="shared" si="26"/>
        <v xml:space="preserve">       118.9        1.16      0.8657      0.0199      0.0267       0.219       1.151       0.598              </v>
      </c>
      <c r="S452">
        <v>118.9</v>
      </c>
      <c r="T452">
        <v>1.1599999999999999</v>
      </c>
      <c r="U452">
        <v>0.86570000000000003</v>
      </c>
      <c r="V452">
        <v>1.9900000000000001E-2</v>
      </c>
      <c r="W452">
        <v>2.6700000000000002E-2</v>
      </c>
      <c r="X452">
        <v>0.219</v>
      </c>
      <c r="Y452">
        <v>1.151</v>
      </c>
      <c r="Z452">
        <v>0.59799999999999998</v>
      </c>
    </row>
    <row r="453" spans="1:29" x14ac:dyDescent="0.25">
      <c r="A453" s="1" t="s">
        <v>380</v>
      </c>
      <c r="J453" t="str">
        <f t="shared" si="26"/>
        <v xml:space="preserve">       123.3        1.21      0.7776      0.0100      0.0155       0.127       0.668       0.301              </v>
      </c>
      <c r="S453">
        <v>123.3</v>
      </c>
      <c r="T453">
        <v>1.21</v>
      </c>
      <c r="U453">
        <v>0.77759999999999996</v>
      </c>
      <c r="V453">
        <v>0.01</v>
      </c>
      <c r="W453">
        <v>1.55E-2</v>
      </c>
      <c r="X453">
        <v>0.127</v>
      </c>
      <c r="Y453">
        <v>0.66800000000000004</v>
      </c>
      <c r="Z453">
        <v>0.30099999999999999</v>
      </c>
    </row>
    <row r="454" spans="1:29" x14ac:dyDescent="0.25">
      <c r="A454" s="1" t="s">
        <v>381</v>
      </c>
      <c r="J454" t="str">
        <f t="shared" si="26"/>
        <v xml:space="preserve">       127.7        1.25     -0.0053      0.0000      0.0042       0.034       0.180      -0.001              </v>
      </c>
      <c r="S454">
        <v>127.7</v>
      </c>
      <c r="T454">
        <v>1.25</v>
      </c>
      <c r="U454">
        <v>-5.3E-3</v>
      </c>
      <c r="V454">
        <v>0</v>
      </c>
      <c r="W454">
        <v>4.1999999999999997E-3</v>
      </c>
      <c r="X454">
        <v>3.4000000000000002E-2</v>
      </c>
      <c r="Y454">
        <v>-0.18</v>
      </c>
      <c r="Z454">
        <v>1E-3</v>
      </c>
    </row>
    <row r="455" spans="1:29" x14ac:dyDescent="0.25">
      <c r="A455" s="1" t="s">
        <v>1</v>
      </c>
    </row>
    <row r="456" spans="1:29" x14ac:dyDescent="0.25">
      <c r="A456" s="1" t="s">
        <v>1</v>
      </c>
    </row>
    <row r="457" spans="1:29" x14ac:dyDescent="0.25">
      <c r="A457" s="1" t="s">
        <v>1</v>
      </c>
    </row>
    <row r="458" spans="1:29" x14ac:dyDescent="0.25">
      <c r="A458" s="1" t="s">
        <v>382</v>
      </c>
      <c r="S458">
        <v>13000</v>
      </c>
      <c r="AC458" t="str">
        <f>CONCATENATE($V$16,$AC$13,S458)</f>
        <v>Ct@13000</v>
      </c>
    </row>
    <row r="459" spans="1:29" x14ac:dyDescent="0.25">
      <c r="A459" s="1" t="s">
        <v>1</v>
      </c>
    </row>
    <row r="460" spans="1:29" x14ac:dyDescent="0.25">
      <c r="A460" s="1" t="s">
        <v>9</v>
      </c>
      <c r="J460" t="str">
        <f>A460</f>
        <v xml:space="preserve">         V          J           Pe         Ct          Cp          PWR         Torque      Thrust             </v>
      </c>
      <c r="S460" t="s">
        <v>662</v>
      </c>
      <c r="T460" t="s">
        <v>663</v>
      </c>
      <c r="U460" t="s">
        <v>664</v>
      </c>
      <c r="V460" t="s">
        <v>665</v>
      </c>
      <c r="W460" t="s">
        <v>666</v>
      </c>
      <c r="X460" t="s">
        <v>667</v>
      </c>
      <c r="Y460" t="s">
        <v>668</v>
      </c>
      <c r="Z460" t="s">
        <v>669</v>
      </c>
    </row>
    <row r="461" spans="1:29" x14ac:dyDescent="0.25">
      <c r="A461" s="1" t="s">
        <v>10</v>
      </c>
      <c r="J461" t="str">
        <f t="shared" ref="J461:J491" si="27">A461</f>
        <v xml:space="preserve">       (mph)     (Adv Ratio)                                       (Hp)        (In-Lbf)     (Lbf)             </v>
      </c>
      <c r="S461" t="s">
        <v>670</v>
      </c>
      <c r="T461" t="s">
        <v>671</v>
      </c>
      <c r="X461" t="s">
        <v>672</v>
      </c>
      <c r="Y461" t="s">
        <v>673</v>
      </c>
      <c r="Z461" t="s">
        <v>674</v>
      </c>
    </row>
    <row r="462" spans="1:29" x14ac:dyDescent="0.25">
      <c r="A462" s="1" t="s">
        <v>383</v>
      </c>
      <c r="J462" t="str">
        <f t="shared" si="27"/>
        <v xml:space="preserve">         0.0        0.00      0.0000      0.1418      0.1712       1.786       8.660       5.008              </v>
      </c>
      <c r="S462">
        <v>0</v>
      </c>
      <c r="T462">
        <v>0</v>
      </c>
      <c r="U462">
        <v>0</v>
      </c>
      <c r="V462">
        <v>0.14180000000000001</v>
      </c>
      <c r="W462">
        <v>0.17119999999999999</v>
      </c>
      <c r="X462">
        <v>1.786</v>
      </c>
      <c r="Y462">
        <v>8.66</v>
      </c>
      <c r="Z462">
        <v>5.008</v>
      </c>
    </row>
    <row r="463" spans="1:29" x14ac:dyDescent="0.25">
      <c r="A463" s="1" t="s">
        <v>384</v>
      </c>
      <c r="J463" t="str">
        <f t="shared" si="27"/>
        <v xml:space="preserve">         4.8        0.04      0.0364      0.1421      0.1679       1.752       8.493       5.019              </v>
      </c>
      <c r="S463">
        <v>4.8</v>
      </c>
      <c r="T463">
        <v>0.04</v>
      </c>
      <c r="U463">
        <v>3.6400000000000002E-2</v>
      </c>
      <c r="V463">
        <v>0.1421</v>
      </c>
      <c r="W463">
        <v>0.16789999999999999</v>
      </c>
      <c r="X463">
        <v>1.752</v>
      </c>
      <c r="Y463">
        <v>8.4930000000000003</v>
      </c>
      <c r="Z463">
        <v>5.0190000000000001</v>
      </c>
    </row>
    <row r="464" spans="1:29" x14ac:dyDescent="0.25">
      <c r="A464" s="1" t="s">
        <v>385</v>
      </c>
      <c r="J464" t="str">
        <f t="shared" si="27"/>
        <v xml:space="preserve">         9.5        0.09      0.0745      0.1424      0.1646       1.718       8.329       5.031              </v>
      </c>
      <c r="S464">
        <v>9.5</v>
      </c>
      <c r="T464">
        <v>0.09</v>
      </c>
      <c r="U464">
        <v>7.4499999999999997E-2</v>
      </c>
      <c r="V464">
        <v>0.1424</v>
      </c>
      <c r="W464">
        <v>0.1646</v>
      </c>
      <c r="X464">
        <v>1.718</v>
      </c>
      <c r="Y464">
        <v>8.3290000000000006</v>
      </c>
      <c r="Z464">
        <v>5.0309999999999997</v>
      </c>
    </row>
    <row r="465" spans="1:26" x14ac:dyDescent="0.25">
      <c r="A465" s="1" t="s">
        <v>386</v>
      </c>
      <c r="J465" t="str">
        <f t="shared" si="27"/>
        <v xml:space="preserve">        14.3        0.13      0.1143      0.1427      0.1613       1.683       8.159       5.040              </v>
      </c>
      <c r="S465">
        <v>14.3</v>
      </c>
      <c r="T465">
        <v>0.13</v>
      </c>
      <c r="U465">
        <v>0.1143</v>
      </c>
      <c r="V465">
        <v>0.14269999999999999</v>
      </c>
      <c r="W465">
        <v>0.1613</v>
      </c>
      <c r="X465">
        <v>1.6830000000000001</v>
      </c>
      <c r="Y465">
        <v>8.1590000000000007</v>
      </c>
      <c r="Z465">
        <v>5.04</v>
      </c>
    </row>
    <row r="466" spans="1:26" x14ac:dyDescent="0.25">
      <c r="A466" s="1" t="s">
        <v>387</v>
      </c>
      <c r="J466" t="str">
        <f t="shared" si="27"/>
        <v xml:space="preserve">        19.1        0.17      0.1559      0.1429      0.1579       1.647       7.987       5.048              </v>
      </c>
      <c r="S466">
        <v>19.100000000000001</v>
      </c>
      <c r="T466">
        <v>0.17</v>
      </c>
      <c r="U466">
        <v>0.15590000000000001</v>
      </c>
      <c r="V466">
        <v>0.1429</v>
      </c>
      <c r="W466">
        <v>0.15790000000000001</v>
      </c>
      <c r="X466">
        <v>1.647</v>
      </c>
      <c r="Y466">
        <v>7.9870000000000001</v>
      </c>
      <c r="Z466">
        <v>5.048</v>
      </c>
    </row>
    <row r="467" spans="1:26" x14ac:dyDescent="0.25">
      <c r="A467" s="1" t="s">
        <v>388</v>
      </c>
      <c r="J467" t="str">
        <f t="shared" si="27"/>
        <v xml:space="preserve">        23.8        0.22      0.1995      0.1430      0.1543       1.611       7.808       5.051              </v>
      </c>
      <c r="S467">
        <v>23.8</v>
      </c>
      <c r="T467">
        <v>0.22</v>
      </c>
      <c r="U467">
        <v>0.19950000000000001</v>
      </c>
      <c r="V467">
        <v>0.14299999999999999</v>
      </c>
      <c r="W467">
        <v>0.15429999999999999</v>
      </c>
      <c r="X467">
        <v>1.611</v>
      </c>
      <c r="Y467">
        <v>7.8079999999999998</v>
      </c>
      <c r="Z467">
        <v>5.0510000000000002</v>
      </c>
    </row>
    <row r="468" spans="1:26" x14ac:dyDescent="0.25">
      <c r="A468" s="1" t="s">
        <v>389</v>
      </c>
      <c r="J468" t="str">
        <f t="shared" si="27"/>
        <v xml:space="preserve">        28.6        0.26      0.2450      0.1430      0.1507       1.573       7.625       5.050              </v>
      </c>
      <c r="S468">
        <v>28.6</v>
      </c>
      <c r="T468">
        <v>0.26</v>
      </c>
      <c r="U468">
        <v>0.245</v>
      </c>
      <c r="V468">
        <v>0.14299999999999999</v>
      </c>
      <c r="W468">
        <v>0.1507</v>
      </c>
      <c r="X468">
        <v>1.573</v>
      </c>
      <c r="Y468">
        <v>7.625</v>
      </c>
      <c r="Z468">
        <v>5.05</v>
      </c>
    </row>
    <row r="469" spans="1:26" x14ac:dyDescent="0.25">
      <c r="A469" s="1" t="s">
        <v>390</v>
      </c>
      <c r="J469" t="str">
        <f t="shared" si="27"/>
        <v xml:space="preserve">        33.4        0.30      0.2927      0.1427      0.1470       1.534       7.436       5.042              </v>
      </c>
      <c r="S469">
        <v>33.4</v>
      </c>
      <c r="T469">
        <v>0.3</v>
      </c>
      <c r="U469">
        <v>0.29270000000000002</v>
      </c>
      <c r="V469">
        <v>0.14269999999999999</v>
      </c>
      <c r="W469">
        <v>0.14699999999999999</v>
      </c>
      <c r="X469">
        <v>1.534</v>
      </c>
      <c r="Y469">
        <v>7.4359999999999999</v>
      </c>
      <c r="Z469">
        <v>5.0419999999999998</v>
      </c>
    </row>
    <row r="470" spans="1:26" x14ac:dyDescent="0.25">
      <c r="A470" s="1" t="s">
        <v>391</v>
      </c>
      <c r="J470" t="str">
        <f t="shared" si="27"/>
        <v xml:space="preserve">        38.2        0.34      0.3424      0.1423      0.1432       1.494       7.244       5.027              </v>
      </c>
      <c r="S470">
        <v>38.200000000000003</v>
      </c>
      <c r="T470">
        <v>0.34</v>
      </c>
      <c r="U470">
        <v>0.34239999999999998</v>
      </c>
      <c r="V470">
        <v>0.14230000000000001</v>
      </c>
      <c r="W470">
        <v>0.14319999999999999</v>
      </c>
      <c r="X470">
        <v>1.494</v>
      </c>
      <c r="Y470">
        <v>7.2439999999999998</v>
      </c>
      <c r="Z470">
        <v>5.0270000000000001</v>
      </c>
    </row>
    <row r="471" spans="1:26" x14ac:dyDescent="0.25">
      <c r="A471" s="1" t="s">
        <v>392</v>
      </c>
      <c r="J471" t="str">
        <f t="shared" si="27"/>
        <v xml:space="preserve">        42.9        0.39      0.3942      0.1417      0.1393       1.453       7.046       5.004              </v>
      </c>
      <c r="S471">
        <v>42.9</v>
      </c>
      <c r="T471">
        <v>0.39</v>
      </c>
      <c r="U471">
        <v>0.39419999999999999</v>
      </c>
      <c r="V471">
        <v>0.14169999999999999</v>
      </c>
      <c r="W471">
        <v>0.13930000000000001</v>
      </c>
      <c r="X471">
        <v>1.4530000000000001</v>
      </c>
      <c r="Y471">
        <v>7.0460000000000003</v>
      </c>
      <c r="Z471">
        <v>5.0039999999999996</v>
      </c>
    </row>
    <row r="472" spans="1:26" x14ac:dyDescent="0.25">
      <c r="A472" s="1" t="s">
        <v>393</v>
      </c>
      <c r="J472" t="str">
        <f t="shared" si="27"/>
        <v xml:space="preserve">        47.7        0.43      0.4479      0.1408      0.1353       1.412       6.845       4.972              </v>
      </c>
      <c r="S472">
        <v>47.7</v>
      </c>
      <c r="T472">
        <v>0.43</v>
      </c>
      <c r="U472">
        <v>0.44790000000000002</v>
      </c>
      <c r="V472">
        <v>0.14080000000000001</v>
      </c>
      <c r="W472">
        <v>0.1353</v>
      </c>
      <c r="X472">
        <v>1.4119999999999999</v>
      </c>
      <c r="Y472">
        <v>6.8449999999999998</v>
      </c>
      <c r="Z472">
        <v>4.9720000000000004</v>
      </c>
    </row>
    <row r="473" spans="1:26" x14ac:dyDescent="0.25">
      <c r="A473" s="1" t="s">
        <v>394</v>
      </c>
      <c r="J473" t="str">
        <f t="shared" si="27"/>
        <v xml:space="preserve">        52.5        0.47      0.5036      0.1395      0.1312       1.369       6.636       4.927              </v>
      </c>
      <c r="S473">
        <v>52.5</v>
      </c>
      <c r="T473">
        <v>0.47</v>
      </c>
      <c r="U473">
        <v>0.50360000000000005</v>
      </c>
      <c r="V473">
        <v>0.13950000000000001</v>
      </c>
      <c r="W473">
        <v>0.13120000000000001</v>
      </c>
      <c r="X473">
        <v>1.369</v>
      </c>
      <c r="Y473">
        <v>6.6360000000000001</v>
      </c>
      <c r="Z473">
        <v>4.9269999999999996</v>
      </c>
    </row>
    <row r="474" spans="1:26" x14ac:dyDescent="0.25">
      <c r="A474" s="1" t="s">
        <v>395</v>
      </c>
      <c r="J474" t="str">
        <f t="shared" si="27"/>
        <v xml:space="preserve">        57.2        0.52      0.5610      0.1378      0.1269       1.324       6.418       4.866              </v>
      </c>
      <c r="S474">
        <v>57.2</v>
      </c>
      <c r="T474">
        <v>0.52</v>
      </c>
      <c r="U474">
        <v>0.56100000000000005</v>
      </c>
      <c r="V474">
        <v>0.13780000000000001</v>
      </c>
      <c r="W474">
        <v>0.12690000000000001</v>
      </c>
      <c r="X474">
        <v>1.3240000000000001</v>
      </c>
      <c r="Y474">
        <v>6.4180000000000001</v>
      </c>
      <c r="Z474">
        <v>4.8659999999999997</v>
      </c>
    </row>
    <row r="475" spans="1:26" x14ac:dyDescent="0.25">
      <c r="A475" s="1" t="s">
        <v>396</v>
      </c>
      <c r="J475" t="str">
        <f t="shared" si="27"/>
        <v xml:space="preserve">        62.0        0.56      0.6191      0.1351      0.1222       1.275       6.181       4.773              </v>
      </c>
      <c r="S475">
        <v>62</v>
      </c>
      <c r="T475">
        <v>0.56000000000000005</v>
      </c>
      <c r="U475">
        <v>0.61909999999999998</v>
      </c>
      <c r="V475">
        <v>0.1351</v>
      </c>
      <c r="W475">
        <v>0.1222</v>
      </c>
      <c r="X475">
        <v>1.2749999999999999</v>
      </c>
      <c r="Y475">
        <v>6.181</v>
      </c>
      <c r="Z475">
        <v>4.7729999999999997</v>
      </c>
    </row>
    <row r="476" spans="1:26" x14ac:dyDescent="0.25">
      <c r="A476" s="1" t="s">
        <v>397</v>
      </c>
      <c r="J476" t="str">
        <f t="shared" si="27"/>
        <v xml:space="preserve">        66.8        0.60      0.6743      0.1306      0.1168       1.218       5.907       4.614              </v>
      </c>
      <c r="S476">
        <v>66.8</v>
      </c>
      <c r="T476">
        <v>0.6</v>
      </c>
      <c r="U476">
        <v>0.67430000000000001</v>
      </c>
      <c r="V476">
        <v>0.13059999999999999</v>
      </c>
      <c r="W476">
        <v>0.1168</v>
      </c>
      <c r="X476">
        <v>1.218</v>
      </c>
      <c r="Y476">
        <v>5.907</v>
      </c>
      <c r="Z476">
        <v>4.6139999999999999</v>
      </c>
    </row>
    <row r="477" spans="1:26" x14ac:dyDescent="0.25">
      <c r="A477" s="1" t="s">
        <v>398</v>
      </c>
      <c r="J477" t="str">
        <f t="shared" si="27"/>
        <v xml:space="preserve">        71.5        0.65      0.7210      0.1248      0.1117       1.166       5.653       4.407              </v>
      </c>
      <c r="S477">
        <v>71.5</v>
      </c>
      <c r="T477">
        <v>0.65</v>
      </c>
      <c r="U477">
        <v>0.72099999999999997</v>
      </c>
      <c r="V477">
        <v>0.12479999999999999</v>
      </c>
      <c r="W477">
        <v>0.11169999999999999</v>
      </c>
      <c r="X477">
        <v>1.1659999999999999</v>
      </c>
      <c r="Y477">
        <v>5.6529999999999996</v>
      </c>
      <c r="Z477">
        <v>4.407</v>
      </c>
    </row>
    <row r="478" spans="1:26" x14ac:dyDescent="0.25">
      <c r="A478" s="1" t="s">
        <v>399</v>
      </c>
      <c r="J478" t="str">
        <f t="shared" si="27"/>
        <v xml:space="preserve">        76.3        0.69      0.7570      0.1180      0.1074       1.121       5.434       4.169              </v>
      </c>
      <c r="S478">
        <v>76.3</v>
      </c>
      <c r="T478">
        <v>0.69</v>
      </c>
      <c r="U478">
        <v>0.75700000000000001</v>
      </c>
      <c r="V478">
        <v>0.11799999999999999</v>
      </c>
      <c r="W478">
        <v>0.1074</v>
      </c>
      <c r="X478">
        <v>1.121</v>
      </c>
      <c r="Y478">
        <v>5.4340000000000002</v>
      </c>
      <c r="Z478">
        <v>4.1689999999999996</v>
      </c>
    </row>
    <row r="479" spans="1:26" x14ac:dyDescent="0.25">
      <c r="A479" s="1" t="s">
        <v>400</v>
      </c>
      <c r="J479" t="str">
        <f t="shared" si="27"/>
        <v xml:space="preserve">        81.1        0.73      0.7861      0.1104      0.1028       1.073       5.201       3.900              </v>
      </c>
      <c r="S479">
        <v>81.099999999999994</v>
      </c>
      <c r="T479">
        <v>0.73</v>
      </c>
      <c r="U479">
        <v>0.78610000000000002</v>
      </c>
      <c r="V479">
        <v>0.1104</v>
      </c>
      <c r="W479">
        <v>0.1028</v>
      </c>
      <c r="X479">
        <v>1.073</v>
      </c>
      <c r="Y479">
        <v>5.2009999999999996</v>
      </c>
      <c r="Z479">
        <v>3.9</v>
      </c>
    </row>
    <row r="480" spans="1:26" x14ac:dyDescent="0.25">
      <c r="A480" s="1" t="s">
        <v>401</v>
      </c>
      <c r="J480" t="str">
        <f t="shared" si="27"/>
        <v xml:space="preserve">        85.9        0.77      0.8099      0.1019      0.0975       1.018       4.934       3.600              </v>
      </c>
      <c r="S480">
        <v>85.9</v>
      </c>
      <c r="T480">
        <v>0.77</v>
      </c>
      <c r="U480">
        <v>0.80989999999999995</v>
      </c>
      <c r="V480">
        <v>0.1019</v>
      </c>
      <c r="W480">
        <v>9.7500000000000003E-2</v>
      </c>
      <c r="X480">
        <v>1.018</v>
      </c>
      <c r="Y480">
        <v>4.9340000000000002</v>
      </c>
      <c r="Z480">
        <v>3.6</v>
      </c>
    </row>
    <row r="481" spans="1:29" x14ac:dyDescent="0.25">
      <c r="A481" s="1" t="s">
        <v>402</v>
      </c>
      <c r="J481" t="str">
        <f t="shared" si="27"/>
        <v xml:space="preserve">        90.6        0.82      0.8298      0.0935      0.0922       0.962       4.666       3.304              </v>
      </c>
      <c r="S481">
        <v>90.6</v>
      </c>
      <c r="T481">
        <v>0.82</v>
      </c>
      <c r="U481">
        <v>0.82979999999999998</v>
      </c>
      <c r="V481">
        <v>9.35E-2</v>
      </c>
      <c r="W481">
        <v>9.2200000000000004E-2</v>
      </c>
      <c r="X481">
        <v>0.96199999999999997</v>
      </c>
      <c r="Y481">
        <v>4.6660000000000004</v>
      </c>
      <c r="Z481">
        <v>3.3039999999999998</v>
      </c>
    </row>
    <row r="482" spans="1:29" x14ac:dyDescent="0.25">
      <c r="A482" s="1" t="s">
        <v>403</v>
      </c>
      <c r="J482" t="str">
        <f t="shared" si="27"/>
        <v xml:space="preserve">        95.4        0.86      0.8477      0.0850      0.0864       0.901       4.369       3.003              </v>
      </c>
      <c r="S482">
        <v>95.4</v>
      </c>
      <c r="T482">
        <v>0.86</v>
      </c>
      <c r="U482">
        <v>0.84770000000000001</v>
      </c>
      <c r="V482">
        <v>8.5000000000000006E-2</v>
      </c>
      <c r="W482">
        <v>8.6400000000000005E-2</v>
      </c>
      <c r="X482">
        <v>0.90100000000000002</v>
      </c>
      <c r="Y482">
        <v>4.3689999999999998</v>
      </c>
      <c r="Z482">
        <v>3.0030000000000001</v>
      </c>
    </row>
    <row r="483" spans="1:29" x14ac:dyDescent="0.25">
      <c r="A483" s="1" t="s">
        <v>404</v>
      </c>
      <c r="J483" t="str">
        <f t="shared" si="27"/>
        <v xml:space="preserve">       100.2        0.90      0.8635      0.0763      0.0799       0.834       4.042       2.695              </v>
      </c>
      <c r="S483">
        <v>100.2</v>
      </c>
      <c r="T483">
        <v>0.9</v>
      </c>
      <c r="U483">
        <v>0.86350000000000005</v>
      </c>
      <c r="V483">
        <v>7.6300000000000007E-2</v>
      </c>
      <c r="W483">
        <v>7.9899999999999999E-2</v>
      </c>
      <c r="X483">
        <v>0.83399999999999996</v>
      </c>
      <c r="Y483">
        <v>4.0419999999999998</v>
      </c>
      <c r="Z483">
        <v>2.6949999999999998</v>
      </c>
    </row>
    <row r="484" spans="1:29" x14ac:dyDescent="0.25">
      <c r="A484" s="1" t="s">
        <v>405</v>
      </c>
      <c r="J484" t="str">
        <f t="shared" si="27"/>
        <v xml:space="preserve">       104.9        0.95      0.8773      0.0674      0.0727       0.759       3.679       2.379              </v>
      </c>
      <c r="S484">
        <v>104.9</v>
      </c>
      <c r="T484">
        <v>0.95</v>
      </c>
      <c r="U484">
        <v>0.87729999999999997</v>
      </c>
      <c r="V484">
        <v>6.7400000000000002E-2</v>
      </c>
      <c r="W484">
        <v>7.2700000000000001E-2</v>
      </c>
      <c r="X484">
        <v>0.75900000000000001</v>
      </c>
      <c r="Y484">
        <v>3.6789999999999998</v>
      </c>
      <c r="Z484">
        <v>2.379</v>
      </c>
    </row>
    <row r="485" spans="1:29" x14ac:dyDescent="0.25">
      <c r="A485" s="1" t="s">
        <v>406</v>
      </c>
      <c r="J485" t="str">
        <f t="shared" si="27"/>
        <v xml:space="preserve">       109.7        0.99      0.8884      0.0583      0.0650       0.678       3.286       2.059              </v>
      </c>
      <c r="S485">
        <v>109.7</v>
      </c>
      <c r="T485">
        <v>0.99</v>
      </c>
      <c r="U485">
        <v>0.88839999999999997</v>
      </c>
      <c r="V485">
        <v>5.8299999999999998E-2</v>
      </c>
      <c r="W485">
        <v>6.5000000000000002E-2</v>
      </c>
      <c r="X485">
        <v>0.67800000000000005</v>
      </c>
      <c r="Y485">
        <v>3.286</v>
      </c>
      <c r="Z485">
        <v>2.0590000000000002</v>
      </c>
    </row>
    <row r="486" spans="1:29" x14ac:dyDescent="0.25">
      <c r="A486" s="1" t="s">
        <v>407</v>
      </c>
      <c r="J486" t="str">
        <f t="shared" si="27"/>
        <v xml:space="preserve">       114.5        1.03      0.8961      0.0490      0.0565       0.590       2.858       1.730              </v>
      </c>
      <c r="S486">
        <v>114.5</v>
      </c>
      <c r="T486">
        <v>1.03</v>
      </c>
      <c r="U486">
        <v>0.89610000000000001</v>
      </c>
      <c r="V486">
        <v>4.9000000000000002E-2</v>
      </c>
      <c r="W486">
        <v>5.6500000000000002E-2</v>
      </c>
      <c r="X486">
        <v>0.59</v>
      </c>
      <c r="Y486">
        <v>2.8580000000000001</v>
      </c>
      <c r="Z486">
        <v>1.73</v>
      </c>
    </row>
    <row r="487" spans="1:29" x14ac:dyDescent="0.25">
      <c r="A487" s="1" t="s">
        <v>408</v>
      </c>
      <c r="J487" t="str">
        <f t="shared" si="27"/>
        <v xml:space="preserve">       119.2        1.08      0.9002      0.0395      0.0473       0.493       2.391       1.396              </v>
      </c>
      <c r="S487">
        <v>119.2</v>
      </c>
      <c r="T487">
        <v>1.08</v>
      </c>
      <c r="U487">
        <v>0.9002</v>
      </c>
      <c r="V487">
        <v>3.95E-2</v>
      </c>
      <c r="W487">
        <v>4.7300000000000002E-2</v>
      </c>
      <c r="X487">
        <v>0.49299999999999999</v>
      </c>
      <c r="Y487">
        <v>2.391</v>
      </c>
      <c r="Z487">
        <v>1.3959999999999999</v>
      </c>
    </row>
    <row r="488" spans="1:29" x14ac:dyDescent="0.25">
      <c r="A488" s="1" t="s">
        <v>409</v>
      </c>
      <c r="J488" t="str">
        <f t="shared" si="27"/>
        <v xml:space="preserve">       124.0        1.12      0.8949      0.0298      0.0373       0.389       1.888       1.054              </v>
      </c>
      <c r="S488">
        <v>124</v>
      </c>
      <c r="T488">
        <v>1.1200000000000001</v>
      </c>
      <c r="U488">
        <v>0.89490000000000003</v>
      </c>
      <c r="V488">
        <v>2.98E-2</v>
      </c>
      <c r="W488">
        <v>3.73E-2</v>
      </c>
      <c r="X488">
        <v>0.38900000000000001</v>
      </c>
      <c r="Y488">
        <v>1.8879999999999999</v>
      </c>
      <c r="Z488">
        <v>1.054</v>
      </c>
    </row>
    <row r="489" spans="1:29" x14ac:dyDescent="0.25">
      <c r="A489" s="1" t="s">
        <v>410</v>
      </c>
      <c r="J489" t="str">
        <f t="shared" si="27"/>
        <v xml:space="preserve">       128.8        1.16      0.8716      0.0200      0.0267       0.279       1.352       0.708              </v>
      </c>
      <c r="S489">
        <v>128.80000000000001</v>
      </c>
      <c r="T489">
        <v>1.1599999999999999</v>
      </c>
      <c r="U489">
        <v>0.87160000000000004</v>
      </c>
      <c r="V489">
        <v>0.02</v>
      </c>
      <c r="W489">
        <v>2.6700000000000002E-2</v>
      </c>
      <c r="X489">
        <v>0.27900000000000003</v>
      </c>
      <c r="Y489">
        <v>1.3520000000000001</v>
      </c>
      <c r="Z489">
        <v>0.70799999999999996</v>
      </c>
    </row>
    <row r="490" spans="1:29" x14ac:dyDescent="0.25">
      <c r="A490" s="1" t="s">
        <v>411</v>
      </c>
      <c r="J490" t="str">
        <f t="shared" si="27"/>
        <v xml:space="preserve">       133.6        1.21      0.7860      0.0101      0.0155       0.161       0.782       0.356              </v>
      </c>
      <c r="S490">
        <v>133.6</v>
      </c>
      <c r="T490">
        <v>1.21</v>
      </c>
      <c r="U490">
        <v>0.78600000000000003</v>
      </c>
      <c r="V490">
        <v>1.01E-2</v>
      </c>
      <c r="W490">
        <v>1.55E-2</v>
      </c>
      <c r="X490">
        <v>0.161</v>
      </c>
      <c r="Y490">
        <v>0.78200000000000003</v>
      </c>
      <c r="Z490">
        <v>0.35599999999999998</v>
      </c>
    </row>
    <row r="491" spans="1:29" x14ac:dyDescent="0.25">
      <c r="A491" s="1" t="s">
        <v>412</v>
      </c>
      <c r="J491" t="str">
        <f t="shared" si="27"/>
        <v xml:space="preserve">       138.3        1.25     -0.0058      0.0000      0.0041       0.043       0.207      -0.001              </v>
      </c>
      <c r="S491">
        <v>138.30000000000001</v>
      </c>
      <c r="T491">
        <v>1.25</v>
      </c>
      <c r="U491">
        <v>-5.7999999999999996E-3</v>
      </c>
      <c r="V491">
        <v>0</v>
      </c>
      <c r="W491">
        <v>4.1000000000000003E-3</v>
      </c>
      <c r="X491">
        <v>4.2999999999999997E-2</v>
      </c>
      <c r="Y491">
        <v>-0.20699999999999999</v>
      </c>
      <c r="Z491">
        <v>1E-3</v>
      </c>
    </row>
    <row r="492" spans="1:29" x14ac:dyDescent="0.25">
      <c r="A492" s="1" t="s">
        <v>1</v>
      </c>
    </row>
    <row r="493" spans="1:29" x14ac:dyDescent="0.25">
      <c r="A493" s="1" t="s">
        <v>1</v>
      </c>
    </row>
    <row r="494" spans="1:29" x14ac:dyDescent="0.25">
      <c r="A494" s="1" t="s">
        <v>1</v>
      </c>
    </row>
    <row r="495" spans="1:29" x14ac:dyDescent="0.25">
      <c r="A495" s="1" t="s">
        <v>413</v>
      </c>
      <c r="S495">
        <v>13999</v>
      </c>
      <c r="AC495" t="str">
        <f>CONCATENATE($V$16,$AC$13,S495)</f>
        <v>Ct@13999</v>
      </c>
    </row>
    <row r="496" spans="1:29" x14ac:dyDescent="0.25">
      <c r="A496" s="1" t="s">
        <v>1</v>
      </c>
    </row>
    <row r="497" spans="1:26" x14ac:dyDescent="0.25">
      <c r="A497" s="1" t="s">
        <v>9</v>
      </c>
      <c r="J497" t="str">
        <f>A497</f>
        <v xml:space="preserve">         V          J           Pe         Ct          Cp          PWR         Torque      Thrust             </v>
      </c>
      <c r="S497" t="s">
        <v>662</v>
      </c>
      <c r="T497" t="s">
        <v>663</v>
      </c>
      <c r="U497" t="s">
        <v>664</v>
      </c>
      <c r="V497" t="s">
        <v>665</v>
      </c>
      <c r="W497" t="s">
        <v>666</v>
      </c>
      <c r="X497" t="s">
        <v>667</v>
      </c>
      <c r="Y497" t="s">
        <v>668</v>
      </c>
      <c r="Z497" t="s">
        <v>669</v>
      </c>
    </row>
    <row r="498" spans="1:26" x14ac:dyDescent="0.25">
      <c r="A498" s="1" t="s">
        <v>10</v>
      </c>
      <c r="J498" t="str">
        <f t="shared" ref="J498:J528" si="28">A498</f>
        <v xml:space="preserve">       (mph)     (Adv Ratio)                                       (Hp)        (In-Lbf)     (Lbf)             </v>
      </c>
      <c r="S498" t="s">
        <v>670</v>
      </c>
      <c r="T498" t="s">
        <v>671</v>
      </c>
      <c r="X498" t="s">
        <v>672</v>
      </c>
      <c r="Y498" t="s">
        <v>673</v>
      </c>
      <c r="Z498" t="s">
        <v>674</v>
      </c>
    </row>
    <row r="499" spans="1:26" x14ac:dyDescent="0.25">
      <c r="A499" s="1" t="s">
        <v>414</v>
      </c>
      <c r="J499" t="str">
        <f t="shared" si="28"/>
        <v xml:space="preserve">         0.0        0.00      0.0000      0.1448      0.2012       2.623      11.807       5.932              </v>
      </c>
      <c r="S499">
        <v>0</v>
      </c>
      <c r="T499">
        <v>0</v>
      </c>
      <c r="U499">
        <v>0</v>
      </c>
      <c r="V499">
        <v>0.14480000000000001</v>
      </c>
      <c r="W499">
        <v>0.20119999999999999</v>
      </c>
      <c r="X499">
        <v>2.6230000000000002</v>
      </c>
      <c r="Y499">
        <v>11.807</v>
      </c>
      <c r="Z499">
        <v>5.9320000000000004</v>
      </c>
    </row>
    <row r="500" spans="1:26" x14ac:dyDescent="0.25">
      <c r="A500" s="1" t="s">
        <v>415</v>
      </c>
      <c r="J500" t="str">
        <f t="shared" si="28"/>
        <v xml:space="preserve">         5.1        0.04      0.0318      0.1452      0.1963       2.559      11.520       5.947              </v>
      </c>
      <c r="S500">
        <v>5.0999999999999996</v>
      </c>
      <c r="T500">
        <v>0.04</v>
      </c>
      <c r="U500">
        <v>3.1800000000000002E-2</v>
      </c>
      <c r="V500">
        <v>0.1452</v>
      </c>
      <c r="W500">
        <v>0.1963</v>
      </c>
      <c r="X500">
        <v>2.5590000000000002</v>
      </c>
      <c r="Y500">
        <v>11.52</v>
      </c>
      <c r="Z500">
        <v>5.9470000000000001</v>
      </c>
    </row>
    <row r="501" spans="1:26" x14ac:dyDescent="0.25">
      <c r="A501" s="1" t="s">
        <v>416</v>
      </c>
      <c r="J501" t="str">
        <f t="shared" si="28"/>
        <v xml:space="preserve">        10.3        0.09      0.0654      0.1455      0.1915       2.496      11.236       5.962              </v>
      </c>
      <c r="S501">
        <v>10.3</v>
      </c>
      <c r="T501">
        <v>0.09</v>
      </c>
      <c r="U501">
        <v>6.54E-2</v>
      </c>
      <c r="V501">
        <v>0.14549999999999999</v>
      </c>
      <c r="W501">
        <v>0.1915</v>
      </c>
      <c r="X501">
        <v>2.496</v>
      </c>
      <c r="Y501">
        <v>11.236000000000001</v>
      </c>
      <c r="Z501">
        <v>5.9619999999999997</v>
      </c>
    </row>
    <row r="502" spans="1:26" x14ac:dyDescent="0.25">
      <c r="A502" s="1" t="s">
        <v>417</v>
      </c>
      <c r="J502" t="str">
        <f t="shared" si="28"/>
        <v xml:space="preserve">        15.4        0.13      0.1010      0.1458      0.1864       2.430      10.938       5.973              </v>
      </c>
      <c r="S502">
        <v>15.4</v>
      </c>
      <c r="T502">
        <v>0.13</v>
      </c>
      <c r="U502">
        <v>0.10100000000000001</v>
      </c>
      <c r="V502">
        <v>0.14580000000000001</v>
      </c>
      <c r="W502">
        <v>0.18640000000000001</v>
      </c>
      <c r="X502">
        <v>2.4300000000000002</v>
      </c>
      <c r="Y502">
        <v>10.938000000000001</v>
      </c>
      <c r="Z502">
        <v>5.9729999999999999</v>
      </c>
    </row>
    <row r="503" spans="1:26" x14ac:dyDescent="0.25">
      <c r="A503" s="1" t="s">
        <v>418</v>
      </c>
      <c r="J503" t="str">
        <f t="shared" si="28"/>
        <v xml:space="preserve">        20.5        0.17      0.1387      0.1460      0.1812       2.362      10.632       5.981              </v>
      </c>
      <c r="S503">
        <v>20.5</v>
      </c>
      <c r="T503">
        <v>0.17</v>
      </c>
      <c r="U503">
        <v>0.13869999999999999</v>
      </c>
      <c r="V503">
        <v>0.14599999999999999</v>
      </c>
      <c r="W503">
        <v>0.1812</v>
      </c>
      <c r="X503">
        <v>2.3620000000000001</v>
      </c>
      <c r="Y503">
        <v>10.632</v>
      </c>
      <c r="Z503">
        <v>5.9809999999999999</v>
      </c>
    </row>
    <row r="504" spans="1:26" x14ac:dyDescent="0.25">
      <c r="A504" s="1" t="s">
        <v>419</v>
      </c>
      <c r="J504" t="str">
        <f t="shared" si="28"/>
        <v xml:space="preserve">        25.7        0.22      0.1788      0.1461      0.1759       2.292      10.319       5.985              </v>
      </c>
      <c r="S504">
        <v>25.7</v>
      </c>
      <c r="T504">
        <v>0.22</v>
      </c>
      <c r="U504">
        <v>0.17879999999999999</v>
      </c>
      <c r="V504">
        <v>0.14610000000000001</v>
      </c>
      <c r="W504">
        <v>0.1759</v>
      </c>
      <c r="X504">
        <v>2.2919999999999998</v>
      </c>
      <c r="Y504">
        <v>10.319000000000001</v>
      </c>
      <c r="Z504">
        <v>5.9850000000000003</v>
      </c>
    </row>
    <row r="505" spans="1:26" x14ac:dyDescent="0.25">
      <c r="A505" s="1" t="s">
        <v>420</v>
      </c>
      <c r="J505" t="str">
        <f t="shared" si="28"/>
        <v xml:space="preserve">        30.8        0.26      0.2214      0.1460      0.1703       2.220       9.995       5.982              </v>
      </c>
      <c r="S505">
        <v>30.8</v>
      </c>
      <c r="T505">
        <v>0.26</v>
      </c>
      <c r="U505">
        <v>0.22140000000000001</v>
      </c>
      <c r="V505">
        <v>0.14599999999999999</v>
      </c>
      <c r="W505">
        <v>0.17030000000000001</v>
      </c>
      <c r="X505">
        <v>2.2200000000000002</v>
      </c>
      <c r="Y505">
        <v>9.9949999999999992</v>
      </c>
      <c r="Z505">
        <v>5.9820000000000002</v>
      </c>
    </row>
    <row r="506" spans="1:26" x14ac:dyDescent="0.25">
      <c r="A506" s="1" t="s">
        <v>421</v>
      </c>
      <c r="J506" t="str">
        <f t="shared" si="28"/>
        <v xml:space="preserve">        36.0        0.30      0.2667      0.1457      0.1646       2.146       9.661       5.970              </v>
      </c>
      <c r="S506">
        <v>36</v>
      </c>
      <c r="T506">
        <v>0.3</v>
      </c>
      <c r="U506">
        <v>0.26669999999999999</v>
      </c>
      <c r="V506">
        <v>0.1457</v>
      </c>
      <c r="W506">
        <v>0.1646</v>
      </c>
      <c r="X506">
        <v>2.1459999999999999</v>
      </c>
      <c r="Y506">
        <v>9.6609999999999996</v>
      </c>
      <c r="Z506">
        <v>5.97</v>
      </c>
    </row>
    <row r="507" spans="1:26" x14ac:dyDescent="0.25">
      <c r="A507" s="1" t="s">
        <v>422</v>
      </c>
      <c r="J507" t="str">
        <f t="shared" si="28"/>
        <v xml:space="preserve">        41.1        0.34      0.3148      0.1452      0.1589       2.071       9.321       5.949              </v>
      </c>
      <c r="S507">
        <v>41.1</v>
      </c>
      <c r="T507">
        <v>0.34</v>
      </c>
      <c r="U507">
        <v>0.31480000000000002</v>
      </c>
      <c r="V507">
        <v>0.1452</v>
      </c>
      <c r="W507">
        <v>0.15890000000000001</v>
      </c>
      <c r="X507">
        <v>2.0710000000000002</v>
      </c>
      <c r="Y507">
        <v>9.3209999999999997</v>
      </c>
      <c r="Z507">
        <v>5.9489999999999998</v>
      </c>
    </row>
    <row r="508" spans="1:26" x14ac:dyDescent="0.25">
      <c r="A508" s="1" t="s">
        <v>423</v>
      </c>
      <c r="J508" t="str">
        <f t="shared" si="28"/>
        <v xml:space="preserve">        46.2        0.39      0.3658      0.1445      0.1530       1.995       8.980       5.919              </v>
      </c>
      <c r="S508">
        <v>46.2</v>
      </c>
      <c r="T508">
        <v>0.39</v>
      </c>
      <c r="U508">
        <v>0.36580000000000001</v>
      </c>
      <c r="V508">
        <v>0.14449999999999999</v>
      </c>
      <c r="W508">
        <v>0.153</v>
      </c>
      <c r="X508">
        <v>1.9950000000000001</v>
      </c>
      <c r="Y508">
        <v>8.98</v>
      </c>
      <c r="Z508">
        <v>5.9189999999999996</v>
      </c>
    </row>
    <row r="509" spans="1:26" x14ac:dyDescent="0.25">
      <c r="A509" s="1" t="s">
        <v>424</v>
      </c>
      <c r="J509" t="str">
        <f t="shared" si="28"/>
        <v xml:space="preserve">        51.4        0.43      0.4199      0.1434      0.1470       1.916       8.625       5.874              </v>
      </c>
      <c r="S509">
        <v>51.4</v>
      </c>
      <c r="T509">
        <v>0.43</v>
      </c>
      <c r="U509">
        <v>0.4199</v>
      </c>
      <c r="V509">
        <v>0.1434</v>
      </c>
      <c r="W509">
        <v>0.14699999999999999</v>
      </c>
      <c r="X509">
        <v>1.9159999999999999</v>
      </c>
      <c r="Y509">
        <v>8.625</v>
      </c>
      <c r="Z509">
        <v>5.8739999999999997</v>
      </c>
    </row>
    <row r="510" spans="1:26" x14ac:dyDescent="0.25">
      <c r="A510" s="1" t="s">
        <v>425</v>
      </c>
      <c r="J510" t="str">
        <f t="shared" si="28"/>
        <v xml:space="preserve">        56.5        0.47      0.4773      0.1420      0.1408       1.836       8.263       5.815              </v>
      </c>
      <c r="S510">
        <v>56.5</v>
      </c>
      <c r="T510">
        <v>0.47</v>
      </c>
      <c r="U510">
        <v>0.4773</v>
      </c>
      <c r="V510">
        <v>0.14199999999999999</v>
      </c>
      <c r="W510">
        <v>0.14080000000000001</v>
      </c>
      <c r="X510">
        <v>1.8360000000000001</v>
      </c>
      <c r="Y510">
        <v>8.2629999999999999</v>
      </c>
      <c r="Z510">
        <v>5.8150000000000004</v>
      </c>
    </row>
    <row r="511" spans="1:26" x14ac:dyDescent="0.25">
      <c r="A511" s="1" t="s">
        <v>426</v>
      </c>
      <c r="J511" t="str">
        <f t="shared" si="28"/>
        <v xml:space="preserve">        61.6        0.52      0.5373      0.1401      0.1347       1.755       7.903       5.739              </v>
      </c>
      <c r="S511">
        <v>61.6</v>
      </c>
      <c r="T511">
        <v>0.52</v>
      </c>
      <c r="U511">
        <v>0.5373</v>
      </c>
      <c r="V511">
        <v>0.1401</v>
      </c>
      <c r="W511">
        <v>0.13469999999999999</v>
      </c>
      <c r="X511">
        <v>1.7549999999999999</v>
      </c>
      <c r="Y511">
        <v>7.9029999999999996</v>
      </c>
      <c r="Z511">
        <v>5.7389999999999999</v>
      </c>
    </row>
    <row r="512" spans="1:26" x14ac:dyDescent="0.25">
      <c r="A512" s="1" t="s">
        <v>427</v>
      </c>
      <c r="J512" t="str">
        <f t="shared" si="28"/>
        <v xml:space="preserve">        66.8        0.56      0.6003      0.1374      0.1281       1.670       7.516       5.629              </v>
      </c>
      <c r="S512">
        <v>66.8</v>
      </c>
      <c r="T512">
        <v>0.56000000000000005</v>
      </c>
      <c r="U512">
        <v>0.60029999999999994</v>
      </c>
      <c r="V512">
        <v>0.13739999999999999</v>
      </c>
      <c r="W512">
        <v>0.12809999999999999</v>
      </c>
      <c r="X512">
        <v>1.67</v>
      </c>
      <c r="Y512">
        <v>7.516</v>
      </c>
      <c r="Z512">
        <v>5.6289999999999996</v>
      </c>
    </row>
    <row r="513" spans="1:26" x14ac:dyDescent="0.25">
      <c r="A513" s="1" t="s">
        <v>428</v>
      </c>
      <c r="J513" t="str">
        <f t="shared" si="28"/>
        <v xml:space="preserve">        71.9        0.60      0.6616      0.1327      0.1209       1.576       7.094       5.437              </v>
      </c>
      <c r="S513">
        <v>71.900000000000006</v>
      </c>
      <c r="T513">
        <v>0.6</v>
      </c>
      <c r="U513">
        <v>0.66159999999999997</v>
      </c>
      <c r="V513">
        <v>0.13270000000000001</v>
      </c>
      <c r="W513">
        <v>0.12089999999999999</v>
      </c>
      <c r="X513">
        <v>1.5760000000000001</v>
      </c>
      <c r="Y513">
        <v>7.0940000000000003</v>
      </c>
      <c r="Z513">
        <v>5.4370000000000003</v>
      </c>
    </row>
    <row r="514" spans="1:26" x14ac:dyDescent="0.25">
      <c r="A514" s="1" t="s">
        <v>429</v>
      </c>
      <c r="J514" t="str">
        <f t="shared" si="28"/>
        <v xml:space="preserve">        77.0        0.65      0.7149      0.1265      0.1143       1.490       6.706       5.183              </v>
      </c>
      <c r="S514">
        <v>77</v>
      </c>
      <c r="T514">
        <v>0.65</v>
      </c>
      <c r="U514">
        <v>0.71489999999999998</v>
      </c>
      <c r="V514">
        <v>0.1265</v>
      </c>
      <c r="W514">
        <v>0.1143</v>
      </c>
      <c r="X514">
        <v>1.49</v>
      </c>
      <c r="Y514">
        <v>6.7060000000000004</v>
      </c>
      <c r="Z514">
        <v>5.1829999999999998</v>
      </c>
    </row>
    <row r="515" spans="1:26" x14ac:dyDescent="0.25">
      <c r="A515" s="1" t="s">
        <v>430</v>
      </c>
      <c r="J515" t="str">
        <f t="shared" si="28"/>
        <v xml:space="preserve">        82.2        0.69      0.7544      0.1195      0.1091       1.422       6.401       4.895              </v>
      </c>
      <c r="S515">
        <v>82.2</v>
      </c>
      <c r="T515">
        <v>0.69</v>
      </c>
      <c r="U515">
        <v>0.75439999999999996</v>
      </c>
      <c r="V515">
        <v>0.1195</v>
      </c>
      <c r="W515">
        <v>0.1091</v>
      </c>
      <c r="X515">
        <v>1.4219999999999999</v>
      </c>
      <c r="Y515">
        <v>6.4009999999999998</v>
      </c>
      <c r="Z515">
        <v>4.8949999999999996</v>
      </c>
    </row>
    <row r="516" spans="1:26" x14ac:dyDescent="0.25">
      <c r="A516" s="1" t="s">
        <v>431</v>
      </c>
      <c r="J516" t="str">
        <f t="shared" si="28"/>
        <v xml:space="preserve">        87.3        0.73      0.7853      0.1116      0.1040       1.356       6.103       4.572              </v>
      </c>
      <c r="S516">
        <v>87.3</v>
      </c>
      <c r="T516">
        <v>0.73</v>
      </c>
      <c r="U516">
        <v>0.7853</v>
      </c>
      <c r="V516">
        <v>0.1116</v>
      </c>
      <c r="W516">
        <v>0.104</v>
      </c>
      <c r="X516">
        <v>1.3560000000000001</v>
      </c>
      <c r="Y516">
        <v>6.1029999999999998</v>
      </c>
      <c r="Z516">
        <v>4.5720000000000001</v>
      </c>
    </row>
    <row r="517" spans="1:26" x14ac:dyDescent="0.25">
      <c r="A517" s="1" t="s">
        <v>432</v>
      </c>
      <c r="J517" t="str">
        <f t="shared" si="28"/>
        <v xml:space="preserve">        92.4        0.77      0.8099      0.1029      0.0984       1.283       5.775       4.215              </v>
      </c>
      <c r="S517">
        <v>92.4</v>
      </c>
      <c r="T517">
        <v>0.77</v>
      </c>
      <c r="U517">
        <v>0.80989999999999995</v>
      </c>
      <c r="V517">
        <v>0.10290000000000001</v>
      </c>
      <c r="W517">
        <v>9.8400000000000001E-2</v>
      </c>
      <c r="X517">
        <v>1.2829999999999999</v>
      </c>
      <c r="Y517">
        <v>5.7750000000000004</v>
      </c>
      <c r="Z517">
        <v>4.2149999999999999</v>
      </c>
    </row>
    <row r="518" spans="1:26" x14ac:dyDescent="0.25">
      <c r="A518" s="1" t="s">
        <v>433</v>
      </c>
      <c r="J518" t="str">
        <f t="shared" si="28"/>
        <v xml:space="preserve">        97.6        0.82      0.8302      0.0944      0.0930       1.212       5.458       3.868              </v>
      </c>
      <c r="S518">
        <v>97.6</v>
      </c>
      <c r="T518">
        <v>0.82</v>
      </c>
      <c r="U518">
        <v>0.83020000000000005</v>
      </c>
      <c r="V518">
        <v>9.4399999999999998E-2</v>
      </c>
      <c r="W518">
        <v>9.2999999999999999E-2</v>
      </c>
      <c r="X518">
        <v>1.212</v>
      </c>
      <c r="Y518">
        <v>5.4580000000000002</v>
      </c>
      <c r="Z518">
        <v>3.8679999999999999</v>
      </c>
    </row>
    <row r="519" spans="1:26" x14ac:dyDescent="0.25">
      <c r="A519" s="1" t="s">
        <v>434</v>
      </c>
      <c r="J519" t="str">
        <f t="shared" si="28"/>
        <v xml:space="preserve">       102.7        0.86      0.8485      0.0858      0.0871       1.135       5.108       3.515              </v>
      </c>
      <c r="S519">
        <v>102.7</v>
      </c>
      <c r="T519">
        <v>0.86</v>
      </c>
      <c r="U519">
        <v>0.84850000000000003</v>
      </c>
      <c r="V519">
        <v>8.5800000000000001E-2</v>
      </c>
      <c r="W519">
        <v>8.7099999999999997E-2</v>
      </c>
      <c r="X519">
        <v>1.135</v>
      </c>
      <c r="Y519">
        <v>5.1079999999999997</v>
      </c>
      <c r="Z519">
        <v>3.5150000000000001</v>
      </c>
    </row>
    <row r="520" spans="1:26" x14ac:dyDescent="0.25">
      <c r="A520" s="1" t="s">
        <v>435</v>
      </c>
      <c r="J520" t="str">
        <f t="shared" si="28"/>
        <v xml:space="preserve">       107.9        0.90      0.8647      0.0770      0.0805       1.049       4.723       3.154              </v>
      </c>
      <c r="S520">
        <v>107.9</v>
      </c>
      <c r="T520">
        <v>0.9</v>
      </c>
      <c r="U520">
        <v>0.86470000000000002</v>
      </c>
      <c r="V520">
        <v>7.6999999999999999E-2</v>
      </c>
      <c r="W520">
        <v>8.0500000000000002E-2</v>
      </c>
      <c r="X520">
        <v>1.0489999999999999</v>
      </c>
      <c r="Y520">
        <v>4.7229999999999999</v>
      </c>
      <c r="Z520">
        <v>3.1539999999999999</v>
      </c>
    </row>
    <row r="521" spans="1:26" x14ac:dyDescent="0.25">
      <c r="A521" s="1" t="s">
        <v>436</v>
      </c>
      <c r="J521" t="str">
        <f t="shared" si="28"/>
        <v xml:space="preserve">       113.0        0.95      0.8790      0.0680      0.0733       0.955       4.299       2.786              </v>
      </c>
      <c r="S521">
        <v>113</v>
      </c>
      <c r="T521">
        <v>0.95</v>
      </c>
      <c r="U521">
        <v>0.879</v>
      </c>
      <c r="V521">
        <v>6.8000000000000005E-2</v>
      </c>
      <c r="W521">
        <v>7.3300000000000004E-2</v>
      </c>
      <c r="X521">
        <v>0.95499999999999996</v>
      </c>
      <c r="Y521">
        <v>4.2990000000000004</v>
      </c>
      <c r="Z521">
        <v>2.786</v>
      </c>
    </row>
    <row r="522" spans="1:26" x14ac:dyDescent="0.25">
      <c r="A522" s="1" t="s">
        <v>437</v>
      </c>
      <c r="J522" t="str">
        <f t="shared" si="28"/>
        <v xml:space="preserve">       118.1        0.99      0.8907      0.0588      0.0654       0.852       3.837       2.410              </v>
      </c>
      <c r="S522">
        <v>118.1</v>
      </c>
      <c r="T522">
        <v>0.99</v>
      </c>
      <c r="U522">
        <v>0.89070000000000005</v>
      </c>
      <c r="V522">
        <v>5.8799999999999998E-2</v>
      </c>
      <c r="W522">
        <v>6.54E-2</v>
      </c>
      <c r="X522">
        <v>0.85199999999999998</v>
      </c>
      <c r="Y522">
        <v>3.8370000000000002</v>
      </c>
      <c r="Z522">
        <v>2.41</v>
      </c>
    </row>
    <row r="523" spans="1:26" x14ac:dyDescent="0.25">
      <c r="A523" s="1" t="s">
        <v>438</v>
      </c>
      <c r="J523" t="str">
        <f t="shared" si="28"/>
        <v xml:space="preserve">       123.3        1.03      0.8990      0.0494      0.0568       0.741       3.334       2.026              </v>
      </c>
      <c r="S523">
        <v>123.3</v>
      </c>
      <c r="T523">
        <v>1.03</v>
      </c>
      <c r="U523">
        <v>0.89900000000000002</v>
      </c>
      <c r="V523">
        <v>4.9399999999999999E-2</v>
      </c>
      <c r="W523">
        <v>5.6800000000000003E-2</v>
      </c>
      <c r="X523">
        <v>0.74099999999999999</v>
      </c>
      <c r="Y523">
        <v>3.3340000000000001</v>
      </c>
      <c r="Z523">
        <v>2.0259999999999998</v>
      </c>
    </row>
    <row r="524" spans="1:26" x14ac:dyDescent="0.25">
      <c r="A524" s="1" t="s">
        <v>439</v>
      </c>
      <c r="J524" t="str">
        <f t="shared" si="28"/>
        <v xml:space="preserve">       128.4        1.08      0.9039      0.0399      0.0475       0.619       2.787       1.634              </v>
      </c>
      <c r="S524">
        <v>128.4</v>
      </c>
      <c r="T524">
        <v>1.08</v>
      </c>
      <c r="U524">
        <v>0.90390000000000004</v>
      </c>
      <c r="V524">
        <v>3.9899999999999998E-2</v>
      </c>
      <c r="W524">
        <v>4.7500000000000001E-2</v>
      </c>
      <c r="X524">
        <v>0.61899999999999999</v>
      </c>
      <c r="Y524">
        <v>2.7869999999999999</v>
      </c>
      <c r="Z524">
        <v>1.6339999999999999</v>
      </c>
    </row>
    <row r="525" spans="1:26" x14ac:dyDescent="0.25">
      <c r="A525" s="1" t="s">
        <v>440</v>
      </c>
      <c r="J525" t="str">
        <f t="shared" si="28"/>
        <v xml:space="preserve">       133.5        1.12      0.8995      0.0301      0.0375       0.489       2.199       1.234              </v>
      </c>
      <c r="S525">
        <v>133.5</v>
      </c>
      <c r="T525">
        <v>1.1200000000000001</v>
      </c>
      <c r="U525">
        <v>0.89949999999999997</v>
      </c>
      <c r="V525">
        <v>3.0099999999999998E-2</v>
      </c>
      <c r="W525">
        <v>3.7499999999999999E-2</v>
      </c>
      <c r="X525">
        <v>0.48899999999999999</v>
      </c>
      <c r="Y525">
        <v>2.1989999999999998</v>
      </c>
      <c r="Z525">
        <v>1.234</v>
      </c>
    </row>
    <row r="526" spans="1:26" x14ac:dyDescent="0.25">
      <c r="A526" s="1" t="s">
        <v>441</v>
      </c>
      <c r="J526" t="str">
        <f t="shared" si="28"/>
        <v xml:space="preserve">       138.7        1.16      0.8772      0.0202      0.0268       0.349       1.572       0.828              </v>
      </c>
      <c r="S526">
        <v>138.69999999999999</v>
      </c>
      <c r="T526">
        <v>1.1599999999999999</v>
      </c>
      <c r="U526">
        <v>0.87719999999999998</v>
      </c>
      <c r="V526">
        <v>2.0199999999999999E-2</v>
      </c>
      <c r="W526">
        <v>2.6800000000000001E-2</v>
      </c>
      <c r="X526">
        <v>0.34899999999999998</v>
      </c>
      <c r="Y526">
        <v>1.5720000000000001</v>
      </c>
      <c r="Z526">
        <v>0.82799999999999996</v>
      </c>
    </row>
    <row r="527" spans="1:26" x14ac:dyDescent="0.25">
      <c r="A527" s="1" t="s">
        <v>442</v>
      </c>
      <c r="J527" t="str">
        <f t="shared" si="28"/>
        <v xml:space="preserve">       143.8        1.21      0.7940      0.0102      0.0154       0.201       0.906       0.417              </v>
      </c>
      <c r="S527">
        <v>143.80000000000001</v>
      </c>
      <c r="T527">
        <v>1.21</v>
      </c>
      <c r="U527">
        <v>0.79400000000000004</v>
      </c>
      <c r="V527">
        <v>1.0200000000000001E-2</v>
      </c>
      <c r="W527">
        <v>1.54E-2</v>
      </c>
      <c r="X527">
        <v>0.20100000000000001</v>
      </c>
      <c r="Y527">
        <v>0.90600000000000003</v>
      </c>
      <c r="Z527">
        <v>0.41699999999999998</v>
      </c>
    </row>
    <row r="528" spans="1:26" x14ac:dyDescent="0.25">
      <c r="A528" s="1" t="s">
        <v>443</v>
      </c>
      <c r="J528" t="str">
        <f t="shared" si="28"/>
        <v xml:space="preserve">       148.9        1.25     -0.0064      0.0000      0.0040       0.053       0.237      -0.001              </v>
      </c>
      <c r="S528">
        <v>148.9</v>
      </c>
      <c r="T528">
        <v>1.25</v>
      </c>
      <c r="U528">
        <v>-6.4000000000000003E-3</v>
      </c>
      <c r="V528">
        <v>0</v>
      </c>
      <c r="W528">
        <v>4.0000000000000001E-3</v>
      </c>
      <c r="X528">
        <v>5.2999999999999999E-2</v>
      </c>
      <c r="Y528">
        <v>-0.23699999999999999</v>
      </c>
      <c r="Z528">
        <v>1E-3</v>
      </c>
    </row>
    <row r="529" spans="1:29" x14ac:dyDescent="0.25">
      <c r="A529" s="1" t="s">
        <v>1</v>
      </c>
    </row>
    <row r="530" spans="1:29" x14ac:dyDescent="0.25">
      <c r="A530" s="1" t="s">
        <v>1</v>
      </c>
    </row>
    <row r="531" spans="1:29" x14ac:dyDescent="0.25">
      <c r="A531" s="1" t="s">
        <v>1</v>
      </c>
    </row>
    <row r="532" spans="1:29" x14ac:dyDescent="0.25">
      <c r="A532" s="1" t="s">
        <v>444</v>
      </c>
      <c r="S532">
        <v>15000</v>
      </c>
      <c r="AC532" t="str">
        <f>CONCATENATE($V$16,$AC$13,S532)</f>
        <v>Ct@15000</v>
      </c>
    </row>
    <row r="533" spans="1:29" x14ac:dyDescent="0.25">
      <c r="A533" s="1" t="s">
        <v>1</v>
      </c>
    </row>
    <row r="534" spans="1:29" x14ac:dyDescent="0.25">
      <c r="A534" s="1" t="s">
        <v>9</v>
      </c>
      <c r="J534" t="str">
        <f>A534</f>
        <v xml:space="preserve">         V          J           Pe         Ct          Cp          PWR         Torque      Thrust             </v>
      </c>
      <c r="S534" t="s">
        <v>662</v>
      </c>
      <c r="T534" t="s">
        <v>663</v>
      </c>
      <c r="U534" t="s">
        <v>664</v>
      </c>
      <c r="V534" t="s">
        <v>665</v>
      </c>
      <c r="W534" t="s">
        <v>666</v>
      </c>
      <c r="X534" t="s">
        <v>667</v>
      </c>
      <c r="Y534" t="s">
        <v>668</v>
      </c>
      <c r="Z534" t="s">
        <v>669</v>
      </c>
    </row>
    <row r="535" spans="1:29" x14ac:dyDescent="0.25">
      <c r="A535" s="1" t="s">
        <v>10</v>
      </c>
      <c r="J535" t="str">
        <f t="shared" ref="J535:J565" si="29">A535</f>
        <v xml:space="preserve">       (mph)     (Adv Ratio)                                       (Hp)        (In-Lbf)     (Lbf)             </v>
      </c>
      <c r="S535" t="s">
        <v>670</v>
      </c>
      <c r="T535" t="s">
        <v>671</v>
      </c>
      <c r="X535" t="s">
        <v>672</v>
      </c>
      <c r="Y535" t="s">
        <v>673</v>
      </c>
      <c r="Z535" t="s">
        <v>674</v>
      </c>
    </row>
    <row r="536" spans="1:29" x14ac:dyDescent="0.25">
      <c r="A536" s="1" t="s">
        <v>445</v>
      </c>
      <c r="J536" t="str">
        <f t="shared" si="29"/>
        <v xml:space="preserve">         0.0        0.00      0.0000      0.1478      0.2313       3.708      15.581       6.950              </v>
      </c>
      <c r="S536">
        <v>0</v>
      </c>
      <c r="T536">
        <v>0</v>
      </c>
      <c r="U536">
        <v>0</v>
      </c>
      <c r="V536">
        <v>0.14779999999999999</v>
      </c>
      <c r="W536">
        <v>0.23130000000000001</v>
      </c>
      <c r="X536">
        <v>3.7080000000000002</v>
      </c>
      <c r="Y536">
        <v>15.581</v>
      </c>
      <c r="Z536">
        <v>6.95</v>
      </c>
    </row>
    <row r="537" spans="1:29" x14ac:dyDescent="0.25">
      <c r="A537" s="1" t="s">
        <v>446</v>
      </c>
      <c r="J537" t="str">
        <f t="shared" si="29"/>
        <v xml:space="preserve">         5.5        0.04      0.0283      0.1483      0.2251       3.609      15.163       6.972              </v>
      </c>
      <c r="S537">
        <v>5.5</v>
      </c>
      <c r="T537">
        <v>0.04</v>
      </c>
      <c r="U537">
        <v>2.8299999999999999E-2</v>
      </c>
      <c r="V537">
        <v>0.14829999999999999</v>
      </c>
      <c r="W537">
        <v>0.22509999999999999</v>
      </c>
      <c r="X537">
        <v>3.609</v>
      </c>
      <c r="Y537">
        <v>15.163</v>
      </c>
      <c r="Z537">
        <v>6.9720000000000004</v>
      </c>
    </row>
    <row r="538" spans="1:29" x14ac:dyDescent="0.25">
      <c r="A538" s="1" t="s">
        <v>447</v>
      </c>
      <c r="J538" t="str">
        <f t="shared" si="29"/>
        <v xml:space="preserve">        11.0        0.09      0.0585      0.1486      0.2186       3.505      14.725       6.989              </v>
      </c>
      <c r="S538">
        <v>11</v>
      </c>
      <c r="T538">
        <v>0.09</v>
      </c>
      <c r="U538">
        <v>5.8500000000000003E-2</v>
      </c>
      <c r="V538">
        <v>0.14860000000000001</v>
      </c>
      <c r="W538">
        <v>0.21859999999999999</v>
      </c>
      <c r="X538">
        <v>3.5049999999999999</v>
      </c>
      <c r="Y538">
        <v>14.725</v>
      </c>
      <c r="Z538">
        <v>6.9889999999999999</v>
      </c>
    </row>
    <row r="539" spans="1:29" x14ac:dyDescent="0.25">
      <c r="A539" s="1" t="s">
        <v>448</v>
      </c>
      <c r="J539" t="str">
        <f t="shared" si="29"/>
        <v xml:space="preserve">        16.5        0.13      0.0908      0.1489      0.2119       3.397      14.273       7.003              </v>
      </c>
      <c r="S539">
        <v>16.5</v>
      </c>
      <c r="T539">
        <v>0.13</v>
      </c>
      <c r="U539">
        <v>9.0800000000000006E-2</v>
      </c>
      <c r="V539">
        <v>0.1489</v>
      </c>
      <c r="W539">
        <v>0.21190000000000001</v>
      </c>
      <c r="X539">
        <v>3.3969999999999998</v>
      </c>
      <c r="Y539">
        <v>14.273</v>
      </c>
      <c r="Z539">
        <v>7.0030000000000001</v>
      </c>
    </row>
    <row r="540" spans="1:29" x14ac:dyDescent="0.25">
      <c r="A540" s="1" t="s">
        <v>449</v>
      </c>
      <c r="J540" t="str">
        <f t="shared" si="29"/>
        <v xml:space="preserve">        22.0        0.17      0.1252      0.1492      0.2051       3.287      13.813       7.014              </v>
      </c>
      <c r="S540">
        <v>22</v>
      </c>
      <c r="T540">
        <v>0.17</v>
      </c>
      <c r="U540">
        <v>0.12520000000000001</v>
      </c>
      <c r="V540">
        <v>0.1492</v>
      </c>
      <c r="W540">
        <v>0.2051</v>
      </c>
      <c r="X540">
        <v>3.2869999999999999</v>
      </c>
      <c r="Y540">
        <v>13.813000000000001</v>
      </c>
      <c r="Z540">
        <v>7.0140000000000002</v>
      </c>
    </row>
    <row r="541" spans="1:29" x14ac:dyDescent="0.25">
      <c r="A541" s="1" t="s">
        <v>450</v>
      </c>
      <c r="J541" t="str">
        <f t="shared" si="29"/>
        <v xml:space="preserve">        27.5        0.22      0.1623      0.1492      0.1979       3.173      13.334       7.018              </v>
      </c>
      <c r="S541">
        <v>27.5</v>
      </c>
      <c r="T541">
        <v>0.22</v>
      </c>
      <c r="U541">
        <v>0.1623</v>
      </c>
      <c r="V541">
        <v>0.1492</v>
      </c>
      <c r="W541">
        <v>0.19789999999999999</v>
      </c>
      <c r="X541">
        <v>3.173</v>
      </c>
      <c r="Y541">
        <v>13.334</v>
      </c>
      <c r="Z541">
        <v>7.0179999999999998</v>
      </c>
    </row>
    <row r="542" spans="1:29" x14ac:dyDescent="0.25">
      <c r="A542" s="1" t="s">
        <v>451</v>
      </c>
      <c r="J542" t="str">
        <f t="shared" si="29"/>
        <v xml:space="preserve">        33.0        0.26      0.2021      0.1491      0.1906       3.056      12.839       7.013              </v>
      </c>
      <c r="S542">
        <v>33</v>
      </c>
      <c r="T542">
        <v>0.26</v>
      </c>
      <c r="U542">
        <v>0.2021</v>
      </c>
      <c r="V542">
        <v>0.14910000000000001</v>
      </c>
      <c r="W542">
        <v>0.19059999999999999</v>
      </c>
      <c r="X542">
        <v>3.056</v>
      </c>
      <c r="Y542">
        <v>12.839</v>
      </c>
      <c r="Z542">
        <v>7.0129999999999999</v>
      </c>
    </row>
    <row r="543" spans="1:29" x14ac:dyDescent="0.25">
      <c r="A543" s="1" t="s">
        <v>452</v>
      </c>
      <c r="J543" t="str">
        <f t="shared" si="29"/>
        <v xml:space="preserve">        38.5        0.30      0.2451      0.1488      0.1829       2.932      12.319       6.996              </v>
      </c>
      <c r="S543">
        <v>38.5</v>
      </c>
      <c r="T543">
        <v>0.3</v>
      </c>
      <c r="U543">
        <v>0.24510000000000001</v>
      </c>
      <c r="V543">
        <v>0.14879999999999999</v>
      </c>
      <c r="W543">
        <v>0.18290000000000001</v>
      </c>
      <c r="X543">
        <v>2.9319999999999999</v>
      </c>
      <c r="Y543">
        <v>12.319000000000001</v>
      </c>
      <c r="Z543">
        <v>6.9960000000000004</v>
      </c>
    </row>
    <row r="544" spans="1:29" x14ac:dyDescent="0.25">
      <c r="A544" s="1" t="s">
        <v>453</v>
      </c>
      <c r="J544" t="str">
        <f t="shared" si="29"/>
        <v xml:space="preserve">        44.0        0.34      0.2913      0.1482      0.1752       2.808      11.800       6.969              </v>
      </c>
      <c r="S544">
        <v>44</v>
      </c>
      <c r="T544">
        <v>0.34</v>
      </c>
      <c r="U544">
        <v>0.2913</v>
      </c>
      <c r="V544">
        <v>0.1482</v>
      </c>
      <c r="W544">
        <v>0.17519999999999999</v>
      </c>
      <c r="X544">
        <v>2.8079999999999998</v>
      </c>
      <c r="Y544">
        <v>11.8</v>
      </c>
      <c r="Z544">
        <v>6.9690000000000003</v>
      </c>
    </row>
    <row r="545" spans="1:26" x14ac:dyDescent="0.25">
      <c r="A545" s="1" t="s">
        <v>454</v>
      </c>
      <c r="J545" t="str">
        <f t="shared" si="29"/>
        <v xml:space="preserve">        49.5        0.39      0.3410      0.1473      0.1673       2.682      11.270       6.926              </v>
      </c>
      <c r="S545">
        <v>49.5</v>
      </c>
      <c r="T545">
        <v>0.39</v>
      </c>
      <c r="U545">
        <v>0.34100000000000003</v>
      </c>
      <c r="V545">
        <v>0.14729999999999999</v>
      </c>
      <c r="W545">
        <v>0.1673</v>
      </c>
      <c r="X545">
        <v>2.6819999999999999</v>
      </c>
      <c r="Y545">
        <v>11.27</v>
      </c>
      <c r="Z545">
        <v>6.9260000000000002</v>
      </c>
    </row>
    <row r="546" spans="1:26" x14ac:dyDescent="0.25">
      <c r="A546" s="1" t="s">
        <v>455</v>
      </c>
      <c r="J546" t="str">
        <f t="shared" si="29"/>
        <v xml:space="preserve">        55.0        0.43      0.3947      0.1461      0.1593       2.554      10.730       6.869              </v>
      </c>
      <c r="S546">
        <v>55</v>
      </c>
      <c r="T546">
        <v>0.43</v>
      </c>
      <c r="U546">
        <v>0.3947</v>
      </c>
      <c r="V546">
        <v>0.14610000000000001</v>
      </c>
      <c r="W546">
        <v>0.1593</v>
      </c>
      <c r="X546">
        <v>2.5539999999999998</v>
      </c>
      <c r="Y546">
        <v>10.73</v>
      </c>
      <c r="Z546">
        <v>6.8689999999999998</v>
      </c>
    </row>
    <row r="547" spans="1:26" x14ac:dyDescent="0.25">
      <c r="A547" s="1" t="s">
        <v>456</v>
      </c>
      <c r="J547" t="str">
        <f t="shared" si="29"/>
        <v xml:space="preserve">        60.5        0.47      0.4526      0.1444      0.1511       2.422      10.177       6.792              </v>
      </c>
      <c r="S547">
        <v>60.5</v>
      </c>
      <c r="T547">
        <v>0.47</v>
      </c>
      <c r="U547">
        <v>0.4526</v>
      </c>
      <c r="V547">
        <v>0.1444</v>
      </c>
      <c r="W547">
        <v>0.15110000000000001</v>
      </c>
      <c r="X547">
        <v>2.4220000000000002</v>
      </c>
      <c r="Y547">
        <v>10.177</v>
      </c>
      <c r="Z547">
        <v>6.7919999999999998</v>
      </c>
    </row>
    <row r="548" spans="1:26" x14ac:dyDescent="0.25">
      <c r="A548" s="1" t="s">
        <v>457</v>
      </c>
      <c r="J548" t="str">
        <f t="shared" si="29"/>
        <v xml:space="preserve">        66.0        0.52      0.5148      0.1423      0.1428       2.289       9.616       6.691              </v>
      </c>
      <c r="S548">
        <v>66</v>
      </c>
      <c r="T548">
        <v>0.52</v>
      </c>
      <c r="U548">
        <v>0.51480000000000004</v>
      </c>
      <c r="V548">
        <v>0.14230000000000001</v>
      </c>
      <c r="W548">
        <v>0.14280000000000001</v>
      </c>
      <c r="X548">
        <v>2.2890000000000001</v>
      </c>
      <c r="Y548">
        <v>9.6159999999999997</v>
      </c>
      <c r="Z548">
        <v>6.6909999999999998</v>
      </c>
    </row>
    <row r="549" spans="1:26" x14ac:dyDescent="0.25">
      <c r="A549" s="1" t="s">
        <v>458</v>
      </c>
      <c r="J549" t="str">
        <f t="shared" si="29"/>
        <v xml:space="preserve">        71.5        0.56      0.5810      0.1395      0.1343       2.153       9.048       6.559              </v>
      </c>
      <c r="S549">
        <v>71.5</v>
      </c>
      <c r="T549">
        <v>0.56000000000000005</v>
      </c>
      <c r="U549">
        <v>0.58099999999999996</v>
      </c>
      <c r="V549">
        <v>0.13950000000000001</v>
      </c>
      <c r="W549">
        <v>0.1343</v>
      </c>
      <c r="X549">
        <v>2.153</v>
      </c>
      <c r="Y549">
        <v>9.048</v>
      </c>
      <c r="Z549">
        <v>6.5590000000000002</v>
      </c>
    </row>
    <row r="550" spans="1:26" x14ac:dyDescent="0.25">
      <c r="A550" s="1" t="s">
        <v>459</v>
      </c>
      <c r="J550" t="str">
        <f t="shared" si="29"/>
        <v xml:space="preserve">        77.0        0.60      0.6477      0.1349      0.1255       2.012       8.453       6.344              </v>
      </c>
      <c r="S550">
        <v>77</v>
      </c>
      <c r="T550">
        <v>0.6</v>
      </c>
      <c r="U550">
        <v>0.64770000000000005</v>
      </c>
      <c r="V550">
        <v>0.13489999999999999</v>
      </c>
      <c r="W550">
        <v>0.1255</v>
      </c>
      <c r="X550">
        <v>2.012</v>
      </c>
      <c r="Y550">
        <v>8.4529999999999994</v>
      </c>
      <c r="Z550">
        <v>6.3440000000000003</v>
      </c>
    </row>
    <row r="551" spans="1:26" x14ac:dyDescent="0.25">
      <c r="A551" s="1" t="s">
        <v>460</v>
      </c>
      <c r="J551" t="str">
        <f t="shared" si="29"/>
        <v xml:space="preserve">        82.5        0.65      0.7084      0.1284      0.1170       1.876       7.883       6.038              </v>
      </c>
      <c r="S551">
        <v>82.5</v>
      </c>
      <c r="T551">
        <v>0.65</v>
      </c>
      <c r="U551">
        <v>0.70840000000000003</v>
      </c>
      <c r="V551">
        <v>0.12839999999999999</v>
      </c>
      <c r="W551">
        <v>0.11700000000000001</v>
      </c>
      <c r="X551">
        <v>1.8759999999999999</v>
      </c>
      <c r="Y551">
        <v>7.883</v>
      </c>
      <c r="Z551">
        <v>6.0380000000000003</v>
      </c>
    </row>
    <row r="552" spans="1:26" x14ac:dyDescent="0.25">
      <c r="A552" s="1" t="s">
        <v>461</v>
      </c>
      <c r="J552" t="str">
        <f t="shared" si="29"/>
        <v xml:space="preserve">        88.0        0.69      0.7515      0.1211      0.1109       1.778       7.472       5.693              </v>
      </c>
      <c r="S552">
        <v>88</v>
      </c>
      <c r="T552">
        <v>0.69</v>
      </c>
      <c r="U552">
        <v>0.75149999999999995</v>
      </c>
      <c r="V552">
        <v>0.1211</v>
      </c>
      <c r="W552">
        <v>0.1109</v>
      </c>
      <c r="X552">
        <v>1.778</v>
      </c>
      <c r="Y552">
        <v>7.4720000000000004</v>
      </c>
      <c r="Z552">
        <v>5.6929999999999996</v>
      </c>
    </row>
    <row r="553" spans="1:26" x14ac:dyDescent="0.25">
      <c r="A553" s="1" t="s">
        <v>462</v>
      </c>
      <c r="J553" t="str">
        <f t="shared" si="29"/>
        <v xml:space="preserve">        93.5        0.73      0.7843      0.1129      0.1054       1.689       7.098       5.311              </v>
      </c>
      <c r="S553">
        <v>93.5</v>
      </c>
      <c r="T553">
        <v>0.73</v>
      </c>
      <c r="U553">
        <v>0.7843</v>
      </c>
      <c r="V553">
        <v>0.1129</v>
      </c>
      <c r="W553">
        <v>0.10539999999999999</v>
      </c>
      <c r="X553">
        <v>1.6890000000000001</v>
      </c>
      <c r="Y553">
        <v>7.0979999999999999</v>
      </c>
      <c r="Z553">
        <v>5.3109999999999999</v>
      </c>
    </row>
    <row r="554" spans="1:26" x14ac:dyDescent="0.25">
      <c r="A554" s="1" t="s">
        <v>463</v>
      </c>
      <c r="J554" t="str">
        <f t="shared" si="29"/>
        <v xml:space="preserve">        99.0        0.77      0.8097      0.1040      0.0995       1.595       6.703       4.891              </v>
      </c>
      <c r="S554">
        <v>99</v>
      </c>
      <c r="T554">
        <v>0.77</v>
      </c>
      <c r="U554">
        <v>0.80969999999999998</v>
      </c>
      <c r="V554">
        <v>0.104</v>
      </c>
      <c r="W554">
        <v>9.9500000000000005E-2</v>
      </c>
      <c r="X554">
        <v>1.595</v>
      </c>
      <c r="Y554">
        <v>6.7030000000000003</v>
      </c>
      <c r="Z554">
        <v>4.891</v>
      </c>
    </row>
    <row r="555" spans="1:26" x14ac:dyDescent="0.25">
      <c r="A555" s="1" t="s">
        <v>464</v>
      </c>
      <c r="J555" t="str">
        <f t="shared" si="29"/>
        <v xml:space="preserve">       104.5        0.82      0.8304      0.0954      0.0940       1.506       6.329       4.486              </v>
      </c>
      <c r="S555">
        <v>104.5</v>
      </c>
      <c r="T555">
        <v>0.82</v>
      </c>
      <c r="U555">
        <v>0.83040000000000003</v>
      </c>
      <c r="V555">
        <v>9.5399999999999999E-2</v>
      </c>
      <c r="W555">
        <v>9.4E-2</v>
      </c>
      <c r="X555">
        <v>1.506</v>
      </c>
      <c r="Y555">
        <v>6.3289999999999997</v>
      </c>
      <c r="Z555">
        <v>4.4859999999999998</v>
      </c>
    </row>
    <row r="556" spans="1:26" x14ac:dyDescent="0.25">
      <c r="A556" s="1" t="s">
        <v>465</v>
      </c>
      <c r="J556" t="str">
        <f t="shared" si="29"/>
        <v xml:space="preserve">       110.0        0.86      0.8490      0.0867      0.0879       1.409       5.921       4.077              </v>
      </c>
      <c r="S556">
        <v>110</v>
      </c>
      <c r="T556">
        <v>0.86</v>
      </c>
      <c r="U556">
        <v>0.84899999999999998</v>
      </c>
      <c r="V556">
        <v>8.6699999999999999E-2</v>
      </c>
      <c r="W556">
        <v>8.7900000000000006E-2</v>
      </c>
      <c r="X556">
        <v>1.409</v>
      </c>
      <c r="Y556">
        <v>5.9210000000000003</v>
      </c>
      <c r="Z556">
        <v>4.077</v>
      </c>
    </row>
    <row r="557" spans="1:26" x14ac:dyDescent="0.25">
      <c r="A557" s="1" t="s">
        <v>466</v>
      </c>
      <c r="J557" t="str">
        <f t="shared" si="29"/>
        <v xml:space="preserve">       115.6        0.90      0.8657      0.0778      0.0812       1.302       5.472       3.659              </v>
      </c>
      <c r="S557">
        <v>115.6</v>
      </c>
      <c r="T557">
        <v>0.9</v>
      </c>
      <c r="U557">
        <v>0.86570000000000003</v>
      </c>
      <c r="V557">
        <v>7.7799999999999994E-2</v>
      </c>
      <c r="W557">
        <v>8.1199999999999994E-2</v>
      </c>
      <c r="X557">
        <v>1.302</v>
      </c>
      <c r="Y557">
        <v>5.4720000000000004</v>
      </c>
      <c r="Z557">
        <v>3.6589999999999998</v>
      </c>
    </row>
    <row r="558" spans="1:26" x14ac:dyDescent="0.25">
      <c r="A558" s="1" t="s">
        <v>467</v>
      </c>
      <c r="J558" t="str">
        <f t="shared" si="29"/>
        <v xml:space="preserve">       121.1        0.95      0.8805      0.0687      0.0739       1.185       4.977       3.231              </v>
      </c>
      <c r="S558">
        <v>121.1</v>
      </c>
      <c r="T558">
        <v>0.95</v>
      </c>
      <c r="U558">
        <v>0.88049999999999995</v>
      </c>
      <c r="V558">
        <v>6.8699999999999997E-2</v>
      </c>
      <c r="W558">
        <v>7.3899999999999993E-2</v>
      </c>
      <c r="X558">
        <v>1.1850000000000001</v>
      </c>
      <c r="Y558">
        <v>4.9770000000000003</v>
      </c>
      <c r="Z558">
        <v>3.2309999999999999</v>
      </c>
    </row>
    <row r="559" spans="1:26" x14ac:dyDescent="0.25">
      <c r="A559" s="1" t="s">
        <v>468</v>
      </c>
      <c r="J559" t="str">
        <f t="shared" si="29"/>
        <v xml:space="preserve">       126.6        0.99      0.8928      0.0594      0.0658       1.055       4.435       2.792              </v>
      </c>
      <c r="S559">
        <v>126.6</v>
      </c>
      <c r="T559">
        <v>0.99</v>
      </c>
      <c r="U559">
        <v>0.89280000000000004</v>
      </c>
      <c r="V559">
        <v>5.9400000000000001E-2</v>
      </c>
      <c r="W559">
        <v>6.5799999999999997E-2</v>
      </c>
      <c r="X559">
        <v>1.0549999999999999</v>
      </c>
      <c r="Y559">
        <v>4.4349999999999996</v>
      </c>
      <c r="Z559">
        <v>2.7919999999999998</v>
      </c>
    </row>
    <row r="560" spans="1:26" x14ac:dyDescent="0.25">
      <c r="A560" s="1" t="s">
        <v>469</v>
      </c>
      <c r="J560" t="str">
        <f t="shared" si="29"/>
        <v xml:space="preserve">       132.1        1.03      0.9018      0.0499      0.0572       0.917       3.851       2.347              </v>
      </c>
      <c r="S560">
        <v>132.1</v>
      </c>
      <c r="T560">
        <v>1.03</v>
      </c>
      <c r="U560">
        <v>0.90180000000000005</v>
      </c>
      <c r="V560">
        <v>4.99E-2</v>
      </c>
      <c r="W560">
        <v>5.7200000000000001E-2</v>
      </c>
      <c r="X560">
        <v>0.91700000000000004</v>
      </c>
      <c r="Y560">
        <v>3.851</v>
      </c>
      <c r="Z560">
        <v>2.347</v>
      </c>
    </row>
    <row r="561" spans="1:29" x14ac:dyDescent="0.25">
      <c r="A561" s="1" t="s">
        <v>470</v>
      </c>
      <c r="J561" t="str">
        <f t="shared" si="29"/>
        <v xml:space="preserve">       137.6        1.08      0.9073      0.0402      0.0477       0.765       3.212       1.891              </v>
      </c>
      <c r="S561">
        <v>137.6</v>
      </c>
      <c r="T561">
        <v>1.08</v>
      </c>
      <c r="U561">
        <v>0.9073</v>
      </c>
      <c r="V561">
        <v>4.02E-2</v>
      </c>
      <c r="W561">
        <v>4.7699999999999999E-2</v>
      </c>
      <c r="X561">
        <v>0.76500000000000001</v>
      </c>
      <c r="Y561">
        <v>3.2120000000000002</v>
      </c>
      <c r="Z561">
        <v>1.891</v>
      </c>
    </row>
    <row r="562" spans="1:29" x14ac:dyDescent="0.25">
      <c r="A562" s="1" t="s">
        <v>471</v>
      </c>
      <c r="J562" t="str">
        <f t="shared" si="29"/>
        <v xml:space="preserve">       143.1        1.12      0.9037      0.0304      0.0376       0.603       2.533       1.428              </v>
      </c>
      <c r="S562">
        <v>143.1</v>
      </c>
      <c r="T562">
        <v>1.1200000000000001</v>
      </c>
      <c r="U562">
        <v>0.90369999999999995</v>
      </c>
      <c r="V562">
        <v>3.04E-2</v>
      </c>
      <c r="W562">
        <v>3.7600000000000001E-2</v>
      </c>
      <c r="X562">
        <v>0.60299999999999998</v>
      </c>
      <c r="Y562">
        <v>2.5329999999999999</v>
      </c>
      <c r="Z562">
        <v>1.4279999999999999</v>
      </c>
    </row>
    <row r="563" spans="1:29" x14ac:dyDescent="0.25">
      <c r="A563" s="1" t="s">
        <v>472</v>
      </c>
      <c r="J563" t="str">
        <f t="shared" si="29"/>
        <v xml:space="preserve">       148.6        1.16      0.8826      0.0204      0.0269       0.431       1.811       0.960              </v>
      </c>
      <c r="S563">
        <v>148.6</v>
      </c>
      <c r="T563">
        <v>1.1599999999999999</v>
      </c>
      <c r="U563">
        <v>0.88260000000000005</v>
      </c>
      <c r="V563">
        <v>2.0400000000000001E-2</v>
      </c>
      <c r="W563">
        <v>2.69E-2</v>
      </c>
      <c r="X563">
        <v>0.43099999999999999</v>
      </c>
      <c r="Y563">
        <v>1.8109999999999999</v>
      </c>
      <c r="Z563">
        <v>0.96</v>
      </c>
    </row>
    <row r="564" spans="1:29" x14ac:dyDescent="0.25">
      <c r="A564" s="1" t="s">
        <v>473</v>
      </c>
      <c r="J564" t="str">
        <f t="shared" si="29"/>
        <v xml:space="preserve">       154.1        1.21      0.8015      0.0103      0.0155       0.248       1.043       0.484              </v>
      </c>
      <c r="S564">
        <v>154.1</v>
      </c>
      <c r="T564">
        <v>1.21</v>
      </c>
      <c r="U564">
        <v>0.80149999999999999</v>
      </c>
      <c r="V564">
        <v>1.03E-2</v>
      </c>
      <c r="W564">
        <v>1.55E-2</v>
      </c>
      <c r="X564">
        <v>0.248</v>
      </c>
      <c r="Y564">
        <v>1.0429999999999999</v>
      </c>
      <c r="Z564">
        <v>0.48399999999999999</v>
      </c>
    </row>
    <row r="565" spans="1:29" x14ac:dyDescent="0.25">
      <c r="A565" s="1" t="s">
        <v>474</v>
      </c>
      <c r="J565" t="str">
        <f t="shared" si="29"/>
        <v xml:space="preserve">       159.6        1.25     -0.0066      0.0000      0.0040       0.064       0.270      -0.001              </v>
      </c>
      <c r="S565">
        <v>159.6</v>
      </c>
      <c r="T565">
        <v>1.25</v>
      </c>
      <c r="U565">
        <v>-6.6E-3</v>
      </c>
      <c r="V565">
        <v>0</v>
      </c>
      <c r="W565">
        <v>4.0000000000000001E-3</v>
      </c>
      <c r="X565">
        <v>6.4000000000000001E-2</v>
      </c>
      <c r="Y565">
        <v>-0.27</v>
      </c>
      <c r="Z565">
        <v>1E-3</v>
      </c>
    </row>
    <row r="566" spans="1:29" x14ac:dyDescent="0.25">
      <c r="A566" s="1" t="s">
        <v>1</v>
      </c>
    </row>
    <row r="567" spans="1:29" x14ac:dyDescent="0.25">
      <c r="A567" s="1" t="s">
        <v>1</v>
      </c>
    </row>
    <row r="568" spans="1:29" x14ac:dyDescent="0.25">
      <c r="A568" s="1" t="s">
        <v>1</v>
      </c>
    </row>
    <row r="569" spans="1:29" x14ac:dyDescent="0.25">
      <c r="A569" s="1" t="s">
        <v>475</v>
      </c>
      <c r="S569">
        <v>16000</v>
      </c>
      <c r="AC569" t="str">
        <f>CONCATENATE($V$16,$AC$13,S569)</f>
        <v>Ct@16000</v>
      </c>
    </row>
    <row r="570" spans="1:29" x14ac:dyDescent="0.25">
      <c r="A570" s="1" t="s">
        <v>1</v>
      </c>
    </row>
    <row r="571" spans="1:29" x14ac:dyDescent="0.25">
      <c r="A571" s="1" t="s">
        <v>9</v>
      </c>
      <c r="J571" t="str">
        <f>A571</f>
        <v xml:space="preserve">         V          J           Pe         Ct          Cp          PWR         Torque      Thrust             </v>
      </c>
      <c r="S571" t="s">
        <v>662</v>
      </c>
      <c r="T571" t="s">
        <v>663</v>
      </c>
      <c r="U571" t="s">
        <v>664</v>
      </c>
      <c r="V571" t="s">
        <v>665</v>
      </c>
      <c r="W571" t="s">
        <v>666</v>
      </c>
      <c r="X571" t="s">
        <v>667</v>
      </c>
      <c r="Y571" t="s">
        <v>668</v>
      </c>
      <c r="Z571" t="s">
        <v>669</v>
      </c>
    </row>
    <row r="572" spans="1:29" x14ac:dyDescent="0.25">
      <c r="A572" s="1" t="s">
        <v>10</v>
      </c>
      <c r="J572" t="str">
        <f t="shared" ref="J572:J602" si="30">A572</f>
        <v xml:space="preserve">       (mph)     (Adv Ratio)                                       (Hp)        (In-Lbf)     (Lbf)             </v>
      </c>
      <c r="S572" t="s">
        <v>670</v>
      </c>
      <c r="T572" t="s">
        <v>671</v>
      </c>
      <c r="X572" t="s">
        <v>672</v>
      </c>
      <c r="Y572" t="s">
        <v>673</v>
      </c>
      <c r="Z572" t="s">
        <v>674</v>
      </c>
    </row>
    <row r="573" spans="1:29" x14ac:dyDescent="0.25">
      <c r="A573" s="1" t="s">
        <v>476</v>
      </c>
      <c r="J573" t="str">
        <f t="shared" si="30"/>
        <v xml:space="preserve">         0.0        0.00      0.0000      0.1508      0.2623       5.103      20.102       8.070              </v>
      </c>
      <c r="S573">
        <v>0</v>
      </c>
      <c r="T573">
        <v>0</v>
      </c>
      <c r="U573">
        <v>0</v>
      </c>
      <c r="V573">
        <v>0.15079999999999999</v>
      </c>
      <c r="W573">
        <v>0.26229999999999998</v>
      </c>
      <c r="X573">
        <v>5.1029999999999998</v>
      </c>
      <c r="Y573">
        <v>20.102</v>
      </c>
      <c r="Z573">
        <v>8.07</v>
      </c>
    </row>
    <row r="574" spans="1:29" x14ac:dyDescent="0.25">
      <c r="A574" s="1" t="s">
        <v>477</v>
      </c>
      <c r="J574" t="str">
        <f t="shared" si="30"/>
        <v xml:space="preserve">         5.9        0.04      0.0255      0.1514      0.2548       4.958      19.532       8.098              </v>
      </c>
      <c r="S574">
        <v>5.9</v>
      </c>
      <c r="T574">
        <v>0.04</v>
      </c>
      <c r="U574">
        <v>2.5499999999999998E-2</v>
      </c>
      <c r="V574">
        <v>0.15140000000000001</v>
      </c>
      <c r="W574">
        <v>0.25480000000000003</v>
      </c>
      <c r="X574">
        <v>4.9580000000000002</v>
      </c>
      <c r="Y574">
        <v>19.532</v>
      </c>
      <c r="Z574">
        <v>8.0980000000000008</v>
      </c>
    </row>
    <row r="575" spans="1:29" x14ac:dyDescent="0.25">
      <c r="A575" s="1" t="s">
        <v>478</v>
      </c>
      <c r="J575" t="str">
        <f t="shared" si="30"/>
        <v xml:space="preserve">        11.7        0.09      0.0530      0.1517      0.2464       4.794      18.885       8.118              </v>
      </c>
      <c r="S575">
        <v>11.7</v>
      </c>
      <c r="T575">
        <v>0.09</v>
      </c>
      <c r="U575">
        <v>5.2999999999999999E-2</v>
      </c>
      <c r="V575">
        <v>0.1517</v>
      </c>
      <c r="W575">
        <v>0.24640000000000001</v>
      </c>
      <c r="X575">
        <v>4.7939999999999996</v>
      </c>
      <c r="Y575">
        <v>18.885000000000002</v>
      </c>
      <c r="Z575">
        <v>8.1180000000000003</v>
      </c>
    </row>
    <row r="576" spans="1:29" x14ac:dyDescent="0.25">
      <c r="A576" s="1" t="s">
        <v>479</v>
      </c>
      <c r="J576" t="str">
        <f t="shared" si="30"/>
        <v xml:space="preserve">        17.6        0.13      0.0824      0.1520      0.2381       4.632      18.247       8.135              </v>
      </c>
      <c r="S576">
        <v>17.600000000000001</v>
      </c>
      <c r="T576">
        <v>0.13</v>
      </c>
      <c r="U576">
        <v>8.2400000000000001E-2</v>
      </c>
      <c r="V576">
        <v>0.152</v>
      </c>
      <c r="W576">
        <v>0.23810000000000001</v>
      </c>
      <c r="X576">
        <v>4.6319999999999997</v>
      </c>
      <c r="Y576">
        <v>18.247</v>
      </c>
      <c r="Z576">
        <v>8.1349999999999998</v>
      </c>
    </row>
    <row r="577" spans="1:26" x14ac:dyDescent="0.25">
      <c r="A577" s="1" t="s">
        <v>480</v>
      </c>
      <c r="J577" t="str">
        <f t="shared" si="30"/>
        <v xml:space="preserve">        23.5        0.17      0.1141      0.1523      0.2296       4.468      17.598       8.147              </v>
      </c>
      <c r="S577">
        <v>23.5</v>
      </c>
      <c r="T577">
        <v>0.17</v>
      </c>
      <c r="U577">
        <v>0.11409999999999999</v>
      </c>
      <c r="V577">
        <v>0.15229999999999999</v>
      </c>
      <c r="W577">
        <v>0.2296</v>
      </c>
      <c r="X577">
        <v>4.468</v>
      </c>
      <c r="Y577">
        <v>17.597999999999999</v>
      </c>
      <c r="Z577">
        <v>8.1470000000000002</v>
      </c>
    </row>
    <row r="578" spans="1:26" x14ac:dyDescent="0.25">
      <c r="A578" s="1" t="s">
        <v>481</v>
      </c>
      <c r="J578" t="str">
        <f t="shared" si="30"/>
        <v xml:space="preserve">        29.3        0.22      0.1485      0.1523      0.2206       4.292      16.908       8.149              </v>
      </c>
      <c r="S578">
        <v>29.3</v>
      </c>
      <c r="T578">
        <v>0.22</v>
      </c>
      <c r="U578">
        <v>0.14849999999999999</v>
      </c>
      <c r="V578">
        <v>0.15229999999999999</v>
      </c>
      <c r="W578">
        <v>0.22059999999999999</v>
      </c>
      <c r="X578">
        <v>4.2919999999999998</v>
      </c>
      <c r="Y578">
        <v>16.908000000000001</v>
      </c>
      <c r="Z578">
        <v>8.1489999999999991</v>
      </c>
    </row>
    <row r="579" spans="1:26" x14ac:dyDescent="0.25">
      <c r="A579" s="1" t="s">
        <v>482</v>
      </c>
      <c r="J579" t="str">
        <f t="shared" si="30"/>
        <v xml:space="preserve">        35.2        0.26      0.1856      0.1522      0.2116       4.117      16.219       8.144              </v>
      </c>
      <c r="S579">
        <v>35.200000000000003</v>
      </c>
      <c r="T579">
        <v>0.26</v>
      </c>
      <c r="U579">
        <v>0.18559999999999999</v>
      </c>
      <c r="V579">
        <v>0.1522</v>
      </c>
      <c r="W579">
        <v>0.21160000000000001</v>
      </c>
      <c r="X579">
        <v>4.117</v>
      </c>
      <c r="Y579">
        <v>16.219000000000001</v>
      </c>
      <c r="Z579">
        <v>8.1440000000000001</v>
      </c>
    </row>
    <row r="580" spans="1:26" x14ac:dyDescent="0.25">
      <c r="A580" s="1" t="s">
        <v>483</v>
      </c>
      <c r="J580" t="str">
        <f t="shared" si="30"/>
        <v xml:space="preserve">        41.1        0.30      0.2262      0.1518      0.2021       3.932      15.490       8.123              </v>
      </c>
      <c r="S580">
        <v>41.1</v>
      </c>
      <c r="T580">
        <v>0.3</v>
      </c>
      <c r="U580">
        <v>0.22620000000000001</v>
      </c>
      <c r="V580">
        <v>0.15179999999999999</v>
      </c>
      <c r="W580">
        <v>0.2021</v>
      </c>
      <c r="X580">
        <v>3.9319999999999999</v>
      </c>
      <c r="Y580">
        <v>15.49</v>
      </c>
      <c r="Z580">
        <v>8.1229999999999993</v>
      </c>
    </row>
    <row r="581" spans="1:26" x14ac:dyDescent="0.25">
      <c r="A581" s="1" t="s">
        <v>484</v>
      </c>
      <c r="J581" t="str">
        <f t="shared" si="30"/>
        <v xml:space="preserve">        46.9        0.34      0.2704      0.1511      0.1924       3.743      14.742       8.086              </v>
      </c>
      <c r="S581">
        <v>46.9</v>
      </c>
      <c r="T581">
        <v>0.34</v>
      </c>
      <c r="U581">
        <v>0.27039999999999997</v>
      </c>
      <c r="V581">
        <v>0.15110000000000001</v>
      </c>
      <c r="W581">
        <v>0.19239999999999999</v>
      </c>
      <c r="X581">
        <v>3.7429999999999999</v>
      </c>
      <c r="Y581">
        <v>14.742000000000001</v>
      </c>
      <c r="Z581">
        <v>8.0860000000000003</v>
      </c>
    </row>
    <row r="582" spans="1:26" x14ac:dyDescent="0.25">
      <c r="A582" s="1" t="s">
        <v>485</v>
      </c>
      <c r="J582" t="str">
        <f t="shared" si="30"/>
        <v xml:space="preserve">        52.8        0.39      0.3186      0.1501      0.1823       3.547      13.972       8.029              </v>
      </c>
      <c r="S582">
        <v>52.8</v>
      </c>
      <c r="T582">
        <v>0.39</v>
      </c>
      <c r="U582">
        <v>0.31859999999999999</v>
      </c>
      <c r="V582">
        <v>0.15010000000000001</v>
      </c>
      <c r="W582">
        <v>0.18229999999999999</v>
      </c>
      <c r="X582">
        <v>3.5470000000000002</v>
      </c>
      <c r="Y582">
        <v>13.972</v>
      </c>
      <c r="Z582">
        <v>8.0289999999999999</v>
      </c>
    </row>
    <row r="583" spans="1:26" x14ac:dyDescent="0.25">
      <c r="A583" s="1" t="s">
        <v>486</v>
      </c>
      <c r="J583" t="str">
        <f t="shared" si="30"/>
        <v xml:space="preserve">        58.7        0.43      0.3712      0.1487      0.1723       3.352      13.203       7.955              </v>
      </c>
      <c r="S583">
        <v>58.7</v>
      </c>
      <c r="T583">
        <v>0.43</v>
      </c>
      <c r="U583">
        <v>0.37119999999999997</v>
      </c>
      <c r="V583">
        <v>0.1487</v>
      </c>
      <c r="W583">
        <v>0.17230000000000001</v>
      </c>
      <c r="X583">
        <v>3.3519999999999999</v>
      </c>
      <c r="Y583">
        <v>13.202999999999999</v>
      </c>
      <c r="Z583">
        <v>7.9550000000000001</v>
      </c>
    </row>
    <row r="584" spans="1:26" x14ac:dyDescent="0.25">
      <c r="A584" s="1" t="s">
        <v>487</v>
      </c>
      <c r="J584" t="str">
        <f t="shared" si="30"/>
        <v xml:space="preserve">        64.5        0.47      0.4287      0.1469      0.1621       3.154      12.423       7.858              </v>
      </c>
      <c r="S584">
        <v>64.5</v>
      </c>
      <c r="T584">
        <v>0.47</v>
      </c>
      <c r="U584">
        <v>0.42870000000000003</v>
      </c>
      <c r="V584">
        <v>0.1469</v>
      </c>
      <c r="W584">
        <v>0.16209999999999999</v>
      </c>
      <c r="X584">
        <v>3.1539999999999999</v>
      </c>
      <c r="Y584">
        <v>12.423</v>
      </c>
      <c r="Z584">
        <v>7.8579999999999997</v>
      </c>
    </row>
    <row r="585" spans="1:26" x14ac:dyDescent="0.25">
      <c r="A585" s="1" t="s">
        <v>488</v>
      </c>
      <c r="J585" t="str">
        <f t="shared" si="30"/>
        <v xml:space="preserve">        70.4        0.52      0.4915      0.1446      0.1518       2.954      11.637       7.736              </v>
      </c>
      <c r="S585">
        <v>70.400000000000006</v>
      </c>
      <c r="T585">
        <v>0.52</v>
      </c>
      <c r="U585">
        <v>0.49149999999999999</v>
      </c>
      <c r="V585">
        <v>0.14460000000000001</v>
      </c>
      <c r="W585">
        <v>0.15179999999999999</v>
      </c>
      <c r="X585">
        <v>2.9540000000000002</v>
      </c>
      <c r="Y585">
        <v>11.637</v>
      </c>
      <c r="Z585">
        <v>7.7359999999999998</v>
      </c>
    </row>
    <row r="586" spans="1:26" x14ac:dyDescent="0.25">
      <c r="A586" s="1" t="s">
        <v>489</v>
      </c>
      <c r="J586" t="str">
        <f t="shared" si="30"/>
        <v xml:space="preserve">        76.2        0.56      0.5598      0.1417      0.1415       2.753      10.844       7.580              </v>
      </c>
      <c r="S586">
        <v>76.2</v>
      </c>
      <c r="T586">
        <v>0.56000000000000005</v>
      </c>
      <c r="U586">
        <v>0.55979999999999996</v>
      </c>
      <c r="V586">
        <v>0.14169999999999999</v>
      </c>
      <c r="W586">
        <v>0.14149999999999999</v>
      </c>
      <c r="X586">
        <v>2.7530000000000001</v>
      </c>
      <c r="Y586">
        <v>10.843999999999999</v>
      </c>
      <c r="Z586">
        <v>7.58</v>
      </c>
    </row>
    <row r="587" spans="1:26" x14ac:dyDescent="0.25">
      <c r="A587" s="1" t="s">
        <v>490</v>
      </c>
      <c r="J587" t="str">
        <f t="shared" si="30"/>
        <v xml:space="preserve">        82.1        0.60      0.6315      0.1374      0.1310       2.548      10.038       7.349              </v>
      </c>
      <c r="S587">
        <v>82.1</v>
      </c>
      <c r="T587">
        <v>0.6</v>
      </c>
      <c r="U587">
        <v>0.63149999999999995</v>
      </c>
      <c r="V587">
        <v>0.13739999999999999</v>
      </c>
      <c r="W587">
        <v>0.13100000000000001</v>
      </c>
      <c r="X587">
        <v>2.548</v>
      </c>
      <c r="Y587">
        <v>10.038</v>
      </c>
      <c r="Z587">
        <v>7.3490000000000002</v>
      </c>
    </row>
    <row r="588" spans="1:26" x14ac:dyDescent="0.25">
      <c r="A588" s="1" t="s">
        <v>491</v>
      </c>
      <c r="J588" t="str">
        <f t="shared" si="30"/>
        <v xml:space="preserve">        88.0        0.65      0.7000      0.1305      0.1203       2.340       9.217       6.982              </v>
      </c>
      <c r="S588">
        <v>88</v>
      </c>
      <c r="T588">
        <v>0.65</v>
      </c>
      <c r="U588">
        <v>0.7</v>
      </c>
      <c r="V588">
        <v>0.1305</v>
      </c>
      <c r="W588">
        <v>0.1203</v>
      </c>
      <c r="X588">
        <v>2.34</v>
      </c>
      <c r="Y588">
        <v>9.2170000000000005</v>
      </c>
      <c r="Z588">
        <v>6.9820000000000002</v>
      </c>
    </row>
    <row r="589" spans="1:26" x14ac:dyDescent="0.25">
      <c r="A589" s="1" t="s">
        <v>492</v>
      </c>
      <c r="J589" t="str">
        <f t="shared" si="30"/>
        <v xml:space="preserve">        93.8        0.69      0.7477      0.1229      0.1131       2.201       8.669       6.575              </v>
      </c>
      <c r="S589">
        <v>93.8</v>
      </c>
      <c r="T589">
        <v>0.69</v>
      </c>
      <c r="U589">
        <v>0.74770000000000003</v>
      </c>
      <c r="V589">
        <v>0.1229</v>
      </c>
      <c r="W589">
        <v>0.11310000000000001</v>
      </c>
      <c r="X589">
        <v>2.2010000000000001</v>
      </c>
      <c r="Y589">
        <v>8.6690000000000005</v>
      </c>
      <c r="Z589">
        <v>6.5750000000000002</v>
      </c>
    </row>
    <row r="590" spans="1:26" x14ac:dyDescent="0.25">
      <c r="A590" s="1" t="s">
        <v>493</v>
      </c>
      <c r="J590" t="str">
        <f t="shared" si="30"/>
        <v xml:space="preserve">        99.7        0.73      0.7825      0.1145      0.1070       2.082       8.201       6.127              </v>
      </c>
      <c r="S590">
        <v>99.7</v>
      </c>
      <c r="T590">
        <v>0.73</v>
      </c>
      <c r="U590">
        <v>0.78249999999999997</v>
      </c>
      <c r="V590">
        <v>0.1145</v>
      </c>
      <c r="W590">
        <v>0.107</v>
      </c>
      <c r="X590">
        <v>2.0819999999999999</v>
      </c>
      <c r="Y590">
        <v>8.2010000000000005</v>
      </c>
      <c r="Z590">
        <v>6.1269999999999998</v>
      </c>
    </row>
    <row r="591" spans="1:26" x14ac:dyDescent="0.25">
      <c r="A591" s="1" t="s">
        <v>494</v>
      </c>
      <c r="J591" t="str">
        <f t="shared" si="30"/>
        <v xml:space="preserve">       105.6        0.77      0.8089      0.1054      0.1009       1.962       7.730       5.638              </v>
      </c>
      <c r="S591">
        <v>105.6</v>
      </c>
      <c r="T591">
        <v>0.77</v>
      </c>
      <c r="U591">
        <v>0.80889999999999995</v>
      </c>
      <c r="V591">
        <v>0.10539999999999999</v>
      </c>
      <c r="W591">
        <v>0.1009</v>
      </c>
      <c r="X591">
        <v>1.962</v>
      </c>
      <c r="Y591">
        <v>7.73</v>
      </c>
      <c r="Z591">
        <v>5.6379999999999999</v>
      </c>
    </row>
    <row r="592" spans="1:26" x14ac:dyDescent="0.25">
      <c r="A592" s="1" t="s">
        <v>495</v>
      </c>
      <c r="J592" t="str">
        <f t="shared" si="30"/>
        <v xml:space="preserve">       111.4        0.82      0.8300      0.0967      0.0952       1.852       7.294       5.172              </v>
      </c>
      <c r="S592">
        <v>111.4</v>
      </c>
      <c r="T592">
        <v>0.82</v>
      </c>
      <c r="U592">
        <v>0.83</v>
      </c>
      <c r="V592">
        <v>9.6699999999999994E-2</v>
      </c>
      <c r="W592">
        <v>9.5200000000000007E-2</v>
      </c>
      <c r="X592">
        <v>1.8520000000000001</v>
      </c>
      <c r="Y592">
        <v>7.2939999999999996</v>
      </c>
      <c r="Z592">
        <v>5.1719999999999997</v>
      </c>
    </row>
    <row r="593" spans="1:26" x14ac:dyDescent="0.25">
      <c r="A593" s="1" t="s">
        <v>496</v>
      </c>
      <c r="J593" t="str">
        <f t="shared" si="30"/>
        <v xml:space="preserve">       117.3        0.86      0.8490      0.0878      0.0890       1.732       6.821       4.700              </v>
      </c>
      <c r="S593">
        <v>117.3</v>
      </c>
      <c r="T593">
        <v>0.86</v>
      </c>
      <c r="U593">
        <v>0.84899999999999998</v>
      </c>
      <c r="V593">
        <v>8.7800000000000003E-2</v>
      </c>
      <c r="W593">
        <v>8.8999999999999996E-2</v>
      </c>
      <c r="X593">
        <v>1.732</v>
      </c>
      <c r="Y593">
        <v>6.8209999999999997</v>
      </c>
      <c r="Z593">
        <v>4.7</v>
      </c>
    </row>
    <row r="594" spans="1:26" x14ac:dyDescent="0.25">
      <c r="A594" s="1" t="s">
        <v>497</v>
      </c>
      <c r="J594" t="str">
        <f t="shared" si="30"/>
        <v xml:space="preserve">       123.2        0.90      0.8662      0.0788      0.0822       1.600       6.301       4.219              </v>
      </c>
      <c r="S594">
        <v>123.2</v>
      </c>
      <c r="T594">
        <v>0.9</v>
      </c>
      <c r="U594">
        <v>0.86619999999999997</v>
      </c>
      <c r="V594">
        <v>7.8799999999999995E-2</v>
      </c>
      <c r="W594">
        <v>8.2199999999999995E-2</v>
      </c>
      <c r="X594">
        <v>1.6</v>
      </c>
      <c r="Y594">
        <v>6.3010000000000002</v>
      </c>
      <c r="Z594">
        <v>4.2190000000000003</v>
      </c>
    </row>
    <row r="595" spans="1:26" x14ac:dyDescent="0.25">
      <c r="A595" s="1" t="s">
        <v>498</v>
      </c>
      <c r="J595" t="str">
        <f t="shared" si="30"/>
        <v xml:space="preserve">       129.0        0.95      0.8815      0.0696      0.0748       1.454       5.729       3.726              </v>
      </c>
      <c r="S595">
        <v>129</v>
      </c>
      <c r="T595">
        <v>0.95</v>
      </c>
      <c r="U595">
        <v>0.88149999999999995</v>
      </c>
      <c r="V595">
        <v>6.9599999999999995E-2</v>
      </c>
      <c r="W595">
        <v>7.4800000000000005E-2</v>
      </c>
      <c r="X595">
        <v>1.454</v>
      </c>
      <c r="Y595">
        <v>5.7290000000000001</v>
      </c>
      <c r="Z595">
        <v>3.726</v>
      </c>
    </row>
    <row r="596" spans="1:26" x14ac:dyDescent="0.25">
      <c r="A596" s="1" t="s">
        <v>499</v>
      </c>
      <c r="J596" t="str">
        <f t="shared" si="30"/>
        <v xml:space="preserve">       134.9        0.99      0.8945      0.0602      0.0666       1.296       5.106       3.223              </v>
      </c>
      <c r="S596">
        <v>134.9</v>
      </c>
      <c r="T596">
        <v>0.99</v>
      </c>
      <c r="U596">
        <v>0.89449999999999996</v>
      </c>
      <c r="V596">
        <v>6.0199999999999997E-2</v>
      </c>
      <c r="W596">
        <v>6.6600000000000006E-2</v>
      </c>
      <c r="X596">
        <v>1.296</v>
      </c>
      <c r="Y596">
        <v>5.1059999999999999</v>
      </c>
      <c r="Z596">
        <v>3.2229999999999999</v>
      </c>
    </row>
    <row r="597" spans="1:26" x14ac:dyDescent="0.25">
      <c r="A597" s="1" t="s">
        <v>500</v>
      </c>
      <c r="J597" t="str">
        <f t="shared" si="30"/>
        <v xml:space="preserve">       140.8        1.03      0.9041      0.0506      0.0578       1.125       4.431       2.710              </v>
      </c>
      <c r="S597">
        <v>140.80000000000001</v>
      </c>
      <c r="T597">
        <v>1.03</v>
      </c>
      <c r="U597">
        <v>0.90410000000000001</v>
      </c>
      <c r="V597">
        <v>5.0599999999999999E-2</v>
      </c>
      <c r="W597">
        <v>5.7799999999999997E-2</v>
      </c>
      <c r="X597">
        <v>1.125</v>
      </c>
      <c r="Y597">
        <v>4.431</v>
      </c>
      <c r="Z597">
        <v>2.71</v>
      </c>
    </row>
    <row r="598" spans="1:26" x14ac:dyDescent="0.25">
      <c r="A598" s="1" t="s">
        <v>501</v>
      </c>
      <c r="J598" t="str">
        <f t="shared" si="30"/>
        <v xml:space="preserve">       146.6        1.08      0.9104      0.0408      0.0482       0.938       3.696       2.184              </v>
      </c>
      <c r="S598">
        <v>146.6</v>
      </c>
      <c r="T598">
        <v>1.08</v>
      </c>
      <c r="U598">
        <v>0.91039999999999999</v>
      </c>
      <c r="V598">
        <v>4.0800000000000003E-2</v>
      </c>
      <c r="W598">
        <v>4.82E-2</v>
      </c>
      <c r="X598">
        <v>0.93799999999999994</v>
      </c>
      <c r="Y598">
        <v>3.6960000000000002</v>
      </c>
      <c r="Z598">
        <v>2.1840000000000002</v>
      </c>
    </row>
    <row r="599" spans="1:26" x14ac:dyDescent="0.25">
      <c r="A599" s="1" t="s">
        <v>502</v>
      </c>
      <c r="J599" t="str">
        <f t="shared" si="30"/>
        <v xml:space="preserve">       152.5        1.12      0.9080      0.0309      0.0380       0.740       2.914       1.652              </v>
      </c>
      <c r="S599">
        <v>152.5</v>
      </c>
      <c r="T599">
        <v>1.1200000000000001</v>
      </c>
      <c r="U599">
        <v>0.90800000000000003</v>
      </c>
      <c r="V599">
        <v>3.09E-2</v>
      </c>
      <c r="W599">
        <v>3.7999999999999999E-2</v>
      </c>
      <c r="X599">
        <v>0.74</v>
      </c>
      <c r="Y599">
        <v>2.9140000000000001</v>
      </c>
      <c r="Z599">
        <v>1.6519999999999999</v>
      </c>
    </row>
    <row r="600" spans="1:26" x14ac:dyDescent="0.25">
      <c r="A600" s="1" t="s">
        <v>503</v>
      </c>
      <c r="J600" t="str">
        <f t="shared" si="30"/>
        <v xml:space="preserve">       158.4        1.16      0.8884      0.0208      0.0272       0.530       2.087       1.114              </v>
      </c>
      <c r="S600">
        <v>158.4</v>
      </c>
      <c r="T600">
        <v>1.1599999999999999</v>
      </c>
      <c r="U600">
        <v>0.88839999999999997</v>
      </c>
      <c r="V600">
        <v>2.0799999999999999E-2</v>
      </c>
      <c r="W600">
        <v>2.7199999999999998E-2</v>
      </c>
      <c r="X600">
        <v>0.53</v>
      </c>
      <c r="Y600">
        <v>2.0870000000000002</v>
      </c>
      <c r="Z600">
        <v>1.1140000000000001</v>
      </c>
    </row>
    <row r="601" spans="1:26" x14ac:dyDescent="0.25">
      <c r="A601" s="1" t="s">
        <v>504</v>
      </c>
      <c r="J601" t="str">
        <f t="shared" si="30"/>
        <v xml:space="preserve">       164.2        1.20      0.8102      0.0105      0.0156       0.304       1.198       0.563              </v>
      </c>
      <c r="S601">
        <v>164.2</v>
      </c>
      <c r="T601">
        <v>1.2</v>
      </c>
      <c r="U601">
        <v>0.81020000000000003</v>
      </c>
      <c r="V601">
        <v>1.0500000000000001E-2</v>
      </c>
      <c r="W601">
        <v>1.5599999999999999E-2</v>
      </c>
      <c r="X601">
        <v>0.30399999999999999</v>
      </c>
      <c r="Y601">
        <v>1.198</v>
      </c>
      <c r="Z601">
        <v>0.56299999999999994</v>
      </c>
    </row>
    <row r="602" spans="1:26" x14ac:dyDescent="0.25">
      <c r="A602" s="1" t="s">
        <v>505</v>
      </c>
      <c r="J602" t="str">
        <f t="shared" si="30"/>
        <v xml:space="preserve">       170.1        1.25     -0.0043      0.0000      0.0040       0.077       0.304      -0.001              </v>
      </c>
      <c r="S602">
        <v>170.1</v>
      </c>
      <c r="T602">
        <v>1.25</v>
      </c>
      <c r="U602">
        <v>-4.3E-3</v>
      </c>
      <c r="V602">
        <v>0</v>
      </c>
      <c r="W602">
        <v>4.0000000000000001E-3</v>
      </c>
      <c r="X602">
        <v>7.6999999999999999E-2</v>
      </c>
      <c r="Y602">
        <v>-0.30399999999999999</v>
      </c>
      <c r="Z602">
        <v>1E-3</v>
      </c>
    </row>
    <row r="603" spans="1:26" x14ac:dyDescent="0.25">
      <c r="A603" s="1" t="s">
        <v>1</v>
      </c>
    </row>
    <row r="604" spans="1:26" x14ac:dyDescent="0.25">
      <c r="A604" s="1" t="s">
        <v>1</v>
      </c>
    </row>
    <row r="605" spans="1:26" x14ac:dyDescent="0.25">
      <c r="A605" s="1" t="s">
        <v>1</v>
      </c>
    </row>
    <row r="606" spans="1:26" x14ac:dyDescent="0.25">
      <c r="A606" s="1" t="s">
        <v>506</v>
      </c>
    </row>
    <row r="607" spans="1:26" x14ac:dyDescent="0.25">
      <c r="A607" s="1" t="s">
        <v>1</v>
      </c>
    </row>
    <row r="608" spans="1:26" x14ac:dyDescent="0.25">
      <c r="A608" s="1" t="s">
        <v>9</v>
      </c>
      <c r="J608" t="str">
        <f>A608</f>
        <v xml:space="preserve">         V          J           Pe         Ct          Cp          PWR         Torque      Thrust             </v>
      </c>
      <c r="S608" t="s">
        <v>662</v>
      </c>
      <c r="T608" t="s">
        <v>663</v>
      </c>
      <c r="U608" t="s">
        <v>664</v>
      </c>
      <c r="V608" t="s">
        <v>665</v>
      </c>
      <c r="W608" t="s">
        <v>666</v>
      </c>
      <c r="X608" t="s">
        <v>667</v>
      </c>
      <c r="Y608" t="s">
        <v>668</v>
      </c>
      <c r="Z608" t="s">
        <v>669</v>
      </c>
    </row>
    <row r="609" spans="1:26" x14ac:dyDescent="0.25">
      <c r="A609" s="1" t="s">
        <v>10</v>
      </c>
      <c r="J609" t="str">
        <f t="shared" ref="J609:J639" si="31">A609</f>
        <v xml:space="preserve">       (mph)     (Adv Ratio)                                       (Hp)        (In-Lbf)     (Lbf)             </v>
      </c>
      <c r="S609" t="s">
        <v>670</v>
      </c>
      <c r="T609" t="s">
        <v>671</v>
      </c>
      <c r="X609" t="s">
        <v>672</v>
      </c>
      <c r="Y609" t="s">
        <v>673</v>
      </c>
      <c r="Z609" t="s">
        <v>674</v>
      </c>
    </row>
    <row r="610" spans="1:26" x14ac:dyDescent="0.25">
      <c r="A610" s="1" t="s">
        <v>507</v>
      </c>
      <c r="J610" t="str">
        <f t="shared" si="31"/>
        <v xml:space="preserve">         0.0        0.00      0.0000      0.1539      0.2946       6.875      25.489       9.294              </v>
      </c>
      <c r="S610">
        <v>0</v>
      </c>
      <c r="T610">
        <v>0</v>
      </c>
      <c r="U610">
        <v>0</v>
      </c>
      <c r="V610">
        <v>0.15390000000000001</v>
      </c>
      <c r="W610">
        <v>0.29459999999999997</v>
      </c>
      <c r="X610">
        <v>6.875</v>
      </c>
      <c r="Y610">
        <v>25.489000000000001</v>
      </c>
      <c r="Z610">
        <v>9.2940000000000005</v>
      </c>
    </row>
    <row r="611" spans="1:26" x14ac:dyDescent="0.25">
      <c r="A611" s="1" t="s">
        <v>508</v>
      </c>
      <c r="J611" t="str">
        <f t="shared" si="31"/>
        <v xml:space="preserve">         6.2        0.04      0.0233      0.1544      0.2853       6.658      24.685       9.327              </v>
      </c>
      <c r="S611">
        <v>6.2</v>
      </c>
      <c r="T611">
        <v>0.04</v>
      </c>
      <c r="U611">
        <v>2.3300000000000001E-2</v>
      </c>
      <c r="V611">
        <v>0.15440000000000001</v>
      </c>
      <c r="W611">
        <v>0.2853</v>
      </c>
      <c r="X611">
        <v>6.6580000000000004</v>
      </c>
      <c r="Y611">
        <v>24.684999999999999</v>
      </c>
      <c r="Z611">
        <v>9.327</v>
      </c>
    </row>
    <row r="612" spans="1:26" x14ac:dyDescent="0.25">
      <c r="A612" s="1" t="s">
        <v>509</v>
      </c>
      <c r="J612" t="str">
        <f t="shared" si="31"/>
        <v xml:space="preserve">        12.5        0.09      0.0483      0.1549      0.2756       6.433      23.849       9.353              </v>
      </c>
      <c r="S612">
        <v>12.5</v>
      </c>
      <c r="T612">
        <v>0.09</v>
      </c>
      <c r="U612">
        <v>4.8300000000000003E-2</v>
      </c>
      <c r="V612">
        <v>0.15490000000000001</v>
      </c>
      <c r="W612">
        <v>0.27560000000000001</v>
      </c>
      <c r="X612">
        <v>6.4329999999999998</v>
      </c>
      <c r="Y612">
        <v>23.849</v>
      </c>
      <c r="Z612">
        <v>9.3529999999999998</v>
      </c>
    </row>
    <row r="613" spans="1:26" x14ac:dyDescent="0.25">
      <c r="A613" s="1" t="s">
        <v>510</v>
      </c>
      <c r="J613" t="str">
        <f t="shared" si="31"/>
        <v xml:space="preserve">        18.7        0.13      0.0753      0.1552      0.2657       6.200      22.986       9.374              </v>
      </c>
      <c r="S613">
        <v>18.7</v>
      </c>
      <c r="T613">
        <v>0.13</v>
      </c>
      <c r="U613">
        <v>7.5300000000000006E-2</v>
      </c>
      <c r="V613">
        <v>0.1552</v>
      </c>
      <c r="W613">
        <v>0.26569999999999999</v>
      </c>
      <c r="X613">
        <v>6.2</v>
      </c>
      <c r="Y613">
        <v>22.986000000000001</v>
      </c>
      <c r="Z613">
        <v>9.3740000000000006</v>
      </c>
    </row>
    <row r="614" spans="1:26" x14ac:dyDescent="0.25">
      <c r="A614" s="1" t="s">
        <v>511</v>
      </c>
      <c r="J614" t="str">
        <f t="shared" si="31"/>
        <v xml:space="preserve">        24.9        0.17      0.1046      0.1554      0.2554       5.960      22.095       9.386              </v>
      </c>
      <c r="S614">
        <v>24.9</v>
      </c>
      <c r="T614">
        <v>0.17</v>
      </c>
      <c r="U614">
        <v>0.1046</v>
      </c>
      <c r="V614">
        <v>0.15540000000000001</v>
      </c>
      <c r="W614">
        <v>0.25540000000000002</v>
      </c>
      <c r="X614">
        <v>5.96</v>
      </c>
      <c r="Y614">
        <v>22.094999999999999</v>
      </c>
      <c r="Z614">
        <v>9.3859999999999992</v>
      </c>
    </row>
    <row r="615" spans="1:26" x14ac:dyDescent="0.25">
      <c r="A615" s="1" t="s">
        <v>512</v>
      </c>
      <c r="J615" t="str">
        <f t="shared" si="31"/>
        <v xml:space="preserve">        31.1        0.21      0.1365      0.1554      0.2448       5.713      21.179       9.388              </v>
      </c>
      <c r="S615">
        <v>31.1</v>
      </c>
      <c r="T615">
        <v>0.21</v>
      </c>
      <c r="U615">
        <v>0.13650000000000001</v>
      </c>
      <c r="V615">
        <v>0.15540000000000001</v>
      </c>
      <c r="W615">
        <v>0.24479999999999999</v>
      </c>
      <c r="X615">
        <v>5.7130000000000001</v>
      </c>
      <c r="Y615">
        <v>21.178999999999998</v>
      </c>
      <c r="Z615">
        <v>9.3879999999999999</v>
      </c>
    </row>
    <row r="616" spans="1:26" x14ac:dyDescent="0.25">
      <c r="A616" s="1" t="s">
        <v>513</v>
      </c>
      <c r="J616" t="str">
        <f t="shared" si="31"/>
        <v xml:space="preserve">        37.4        0.26      0.1713      0.1553      0.2338       5.456      20.227       9.378              </v>
      </c>
      <c r="S616">
        <v>37.4</v>
      </c>
      <c r="T616">
        <v>0.26</v>
      </c>
      <c r="U616">
        <v>0.17130000000000001</v>
      </c>
      <c r="V616">
        <v>0.15529999999999999</v>
      </c>
      <c r="W616">
        <v>0.23380000000000001</v>
      </c>
      <c r="X616">
        <v>5.4560000000000004</v>
      </c>
      <c r="Y616">
        <v>20.227</v>
      </c>
      <c r="Z616">
        <v>9.3780000000000001</v>
      </c>
    </row>
    <row r="617" spans="1:26" x14ac:dyDescent="0.25">
      <c r="A617" s="1" t="s">
        <v>514</v>
      </c>
      <c r="J617" t="str">
        <f t="shared" si="31"/>
        <v xml:space="preserve">        43.6        0.30      0.2095      0.1549      0.2225       5.192      19.247       9.353              </v>
      </c>
      <c r="S617">
        <v>43.6</v>
      </c>
      <c r="T617">
        <v>0.3</v>
      </c>
      <c r="U617">
        <v>0.20949999999999999</v>
      </c>
      <c r="V617">
        <v>0.15490000000000001</v>
      </c>
      <c r="W617">
        <v>0.2225</v>
      </c>
      <c r="X617">
        <v>5.1920000000000002</v>
      </c>
      <c r="Y617">
        <v>19.247</v>
      </c>
      <c r="Z617">
        <v>9.3529999999999998</v>
      </c>
    </row>
    <row r="618" spans="1:26" x14ac:dyDescent="0.25">
      <c r="A618" s="1" t="s">
        <v>515</v>
      </c>
      <c r="J618" t="str">
        <f t="shared" si="31"/>
        <v xml:space="preserve">        49.8        0.34      0.2515      0.1541      0.2108       4.919      18.238       9.309              </v>
      </c>
      <c r="S618">
        <v>49.8</v>
      </c>
      <c r="T618">
        <v>0.34</v>
      </c>
      <c r="U618">
        <v>0.2515</v>
      </c>
      <c r="V618">
        <v>0.15409999999999999</v>
      </c>
      <c r="W618">
        <v>0.21079999999999999</v>
      </c>
      <c r="X618">
        <v>4.9189999999999996</v>
      </c>
      <c r="Y618">
        <v>18.238</v>
      </c>
      <c r="Z618">
        <v>9.3089999999999993</v>
      </c>
    </row>
    <row r="619" spans="1:26" x14ac:dyDescent="0.25">
      <c r="A619" s="1" t="s">
        <v>516</v>
      </c>
      <c r="J619" t="str">
        <f t="shared" si="31"/>
        <v xml:space="preserve">        56.1        0.39      0.2977      0.1530      0.1988       4.640      17.203       9.241              </v>
      </c>
      <c r="S619">
        <v>56.1</v>
      </c>
      <c r="T619">
        <v>0.39</v>
      </c>
      <c r="U619">
        <v>0.29770000000000002</v>
      </c>
      <c r="V619">
        <v>0.153</v>
      </c>
      <c r="W619">
        <v>0.1988</v>
      </c>
      <c r="X619">
        <v>4.6399999999999997</v>
      </c>
      <c r="Y619">
        <v>17.202999999999999</v>
      </c>
      <c r="Z619">
        <v>9.2409999999999997</v>
      </c>
    </row>
    <row r="620" spans="1:26" x14ac:dyDescent="0.25">
      <c r="A620" s="1" t="s">
        <v>517</v>
      </c>
      <c r="J620" t="str">
        <f t="shared" si="31"/>
        <v xml:space="preserve">        62.3        0.43      0.3489      0.1515      0.1867       4.356      16.151       9.149              </v>
      </c>
      <c r="S620">
        <v>62.3</v>
      </c>
      <c r="T620">
        <v>0.43</v>
      </c>
      <c r="U620">
        <v>0.34889999999999999</v>
      </c>
      <c r="V620">
        <v>0.1515</v>
      </c>
      <c r="W620">
        <v>0.1867</v>
      </c>
      <c r="X620">
        <v>4.3559999999999999</v>
      </c>
      <c r="Y620">
        <v>16.151</v>
      </c>
      <c r="Z620">
        <v>9.1489999999999991</v>
      </c>
    </row>
    <row r="621" spans="1:26" x14ac:dyDescent="0.25">
      <c r="A621" s="1" t="s">
        <v>518</v>
      </c>
      <c r="J621" t="str">
        <f t="shared" si="31"/>
        <v xml:space="preserve">        68.5        0.47      0.4052      0.1495      0.1745       4.072      15.097       9.031              </v>
      </c>
      <c r="S621">
        <v>68.5</v>
      </c>
      <c r="T621">
        <v>0.47</v>
      </c>
      <c r="U621">
        <v>0.4052</v>
      </c>
      <c r="V621">
        <v>0.14949999999999999</v>
      </c>
      <c r="W621">
        <v>0.17449999999999999</v>
      </c>
      <c r="X621">
        <v>4.0720000000000001</v>
      </c>
      <c r="Y621">
        <v>15.097</v>
      </c>
      <c r="Z621">
        <v>9.0310000000000006</v>
      </c>
    </row>
    <row r="622" spans="1:26" x14ac:dyDescent="0.25">
      <c r="A622" s="1" t="s">
        <v>519</v>
      </c>
      <c r="J622" t="str">
        <f t="shared" si="31"/>
        <v xml:space="preserve">        74.8        0.52      0.4678      0.1470      0.1622       3.784      14.030       8.882              </v>
      </c>
      <c r="S622">
        <v>74.8</v>
      </c>
      <c r="T622">
        <v>0.52</v>
      </c>
      <c r="U622">
        <v>0.46779999999999999</v>
      </c>
      <c r="V622">
        <v>0.14699999999999999</v>
      </c>
      <c r="W622">
        <v>0.16220000000000001</v>
      </c>
      <c r="X622">
        <v>3.7839999999999998</v>
      </c>
      <c r="Y622">
        <v>14.03</v>
      </c>
      <c r="Z622">
        <v>8.8819999999999997</v>
      </c>
    </row>
    <row r="623" spans="1:26" x14ac:dyDescent="0.25">
      <c r="A623" s="1" t="s">
        <v>520</v>
      </c>
      <c r="J623" t="str">
        <f t="shared" si="31"/>
        <v xml:space="preserve">        81.0        0.56      0.5372      0.1440      0.1498       3.496      12.959       8.696              </v>
      </c>
      <c r="S623">
        <v>81</v>
      </c>
      <c r="T623">
        <v>0.56000000000000005</v>
      </c>
      <c r="U623">
        <v>0.53720000000000001</v>
      </c>
      <c r="V623">
        <v>0.14399999999999999</v>
      </c>
      <c r="W623">
        <v>0.14979999999999999</v>
      </c>
      <c r="X623">
        <v>3.496</v>
      </c>
      <c r="Y623">
        <v>12.959</v>
      </c>
      <c r="Z623">
        <v>8.6959999999999997</v>
      </c>
    </row>
    <row r="624" spans="1:26" x14ac:dyDescent="0.25">
      <c r="A624" s="1" t="s">
        <v>521</v>
      </c>
      <c r="J624" t="str">
        <f t="shared" si="31"/>
        <v xml:space="preserve">        87.2        0.60      0.6131      0.1399      0.1373       3.205      11.883       8.451              </v>
      </c>
      <c r="S624">
        <v>87.2</v>
      </c>
      <c r="T624">
        <v>0.6</v>
      </c>
      <c r="U624">
        <v>0.61309999999999998</v>
      </c>
      <c r="V624">
        <v>0.1399</v>
      </c>
      <c r="W624">
        <v>0.13730000000000001</v>
      </c>
      <c r="X624">
        <v>3.2050000000000001</v>
      </c>
      <c r="Y624">
        <v>11.882999999999999</v>
      </c>
      <c r="Z624">
        <v>8.4510000000000005</v>
      </c>
    </row>
    <row r="625" spans="1:26" x14ac:dyDescent="0.25">
      <c r="A625" s="1" t="s">
        <v>522</v>
      </c>
      <c r="J625" t="str">
        <f t="shared" si="31"/>
        <v xml:space="preserve">        93.4        0.64      0.6872      0.1329      0.1247       2.911      10.793       8.030              </v>
      </c>
      <c r="S625">
        <v>93.4</v>
      </c>
      <c r="T625">
        <v>0.64</v>
      </c>
      <c r="U625">
        <v>0.68720000000000003</v>
      </c>
      <c r="V625">
        <v>0.13289999999999999</v>
      </c>
      <c r="W625">
        <v>0.12470000000000001</v>
      </c>
      <c r="X625">
        <v>2.911</v>
      </c>
      <c r="Y625">
        <v>10.792999999999999</v>
      </c>
      <c r="Z625">
        <v>8.0299999999999994</v>
      </c>
    </row>
    <row r="626" spans="1:26" x14ac:dyDescent="0.25">
      <c r="A626" s="1" t="s">
        <v>523</v>
      </c>
      <c r="J626" t="str">
        <f t="shared" si="31"/>
        <v xml:space="preserve">        99.7        0.69      0.7433      0.1249      0.1156       2.697       9.998       7.543              </v>
      </c>
      <c r="S626">
        <v>99.7</v>
      </c>
      <c r="T626">
        <v>0.69</v>
      </c>
      <c r="U626">
        <v>0.74329999999999996</v>
      </c>
      <c r="V626">
        <v>0.1249</v>
      </c>
      <c r="W626">
        <v>0.11559999999999999</v>
      </c>
      <c r="X626">
        <v>2.6970000000000001</v>
      </c>
      <c r="Y626">
        <v>9.9979999999999993</v>
      </c>
      <c r="Z626">
        <v>7.5430000000000001</v>
      </c>
    </row>
    <row r="627" spans="1:26" x14ac:dyDescent="0.25">
      <c r="A627" s="1" t="s">
        <v>524</v>
      </c>
      <c r="J627" t="str">
        <f t="shared" si="31"/>
        <v xml:space="preserve">       105.9        0.73      0.7805      0.1162      0.1089       2.540       9.418       7.022              </v>
      </c>
      <c r="S627">
        <v>105.9</v>
      </c>
      <c r="T627">
        <v>0.73</v>
      </c>
      <c r="U627">
        <v>0.78049999999999997</v>
      </c>
      <c r="V627">
        <v>0.1162</v>
      </c>
      <c r="W627">
        <v>0.1089</v>
      </c>
      <c r="X627">
        <v>2.54</v>
      </c>
      <c r="Y627">
        <v>9.4179999999999993</v>
      </c>
      <c r="Z627">
        <v>7.0220000000000002</v>
      </c>
    </row>
    <row r="628" spans="1:26" x14ac:dyDescent="0.25">
      <c r="A628" s="1" t="s">
        <v>525</v>
      </c>
      <c r="J628" t="str">
        <f t="shared" si="31"/>
        <v xml:space="preserve">       112.1        0.77      0.8080      0.1069      0.1024       2.390       8.860       6.458              </v>
      </c>
      <c r="S628">
        <v>112.1</v>
      </c>
      <c r="T628">
        <v>0.77</v>
      </c>
      <c r="U628">
        <v>0.80800000000000005</v>
      </c>
      <c r="V628">
        <v>0.1069</v>
      </c>
      <c r="W628">
        <v>0.1024</v>
      </c>
      <c r="X628">
        <v>2.39</v>
      </c>
      <c r="Y628">
        <v>8.86</v>
      </c>
      <c r="Z628">
        <v>6.4580000000000002</v>
      </c>
    </row>
    <row r="629" spans="1:26" x14ac:dyDescent="0.25">
      <c r="A629" s="1" t="s">
        <v>526</v>
      </c>
      <c r="J629" t="str">
        <f t="shared" si="31"/>
        <v xml:space="preserve">       118.4        0.82      0.8294      0.0980      0.0966       2.253       8.354       5.922              </v>
      </c>
      <c r="S629">
        <v>118.4</v>
      </c>
      <c r="T629">
        <v>0.82</v>
      </c>
      <c r="U629">
        <v>0.82940000000000003</v>
      </c>
      <c r="V629">
        <v>9.8000000000000004E-2</v>
      </c>
      <c r="W629">
        <v>9.6600000000000005E-2</v>
      </c>
      <c r="X629">
        <v>2.2530000000000001</v>
      </c>
      <c r="Y629">
        <v>8.3539999999999992</v>
      </c>
      <c r="Z629">
        <v>5.9219999999999997</v>
      </c>
    </row>
    <row r="630" spans="1:26" x14ac:dyDescent="0.25">
      <c r="A630" s="1" t="s">
        <v>527</v>
      </c>
      <c r="J630" t="str">
        <f t="shared" si="31"/>
        <v xml:space="preserve">       124.6        0.86      0.8488      0.0891      0.0903       2.107       7.811       5.383              </v>
      </c>
      <c r="S630">
        <v>124.6</v>
      </c>
      <c r="T630">
        <v>0.86</v>
      </c>
      <c r="U630">
        <v>0.8488</v>
      </c>
      <c r="V630">
        <v>8.9099999999999999E-2</v>
      </c>
      <c r="W630">
        <v>9.0300000000000005E-2</v>
      </c>
      <c r="X630">
        <v>2.1070000000000002</v>
      </c>
      <c r="Y630">
        <v>7.8109999999999999</v>
      </c>
      <c r="Z630">
        <v>5.383</v>
      </c>
    </row>
    <row r="631" spans="1:26" x14ac:dyDescent="0.25">
      <c r="A631" s="1" t="s">
        <v>528</v>
      </c>
      <c r="J631" t="str">
        <f t="shared" si="31"/>
        <v xml:space="preserve">       130.8        0.90      0.8664      0.0800      0.0834       1.946       7.214       4.833              </v>
      </c>
      <c r="S631">
        <v>130.80000000000001</v>
      </c>
      <c r="T631">
        <v>0.9</v>
      </c>
      <c r="U631">
        <v>0.86639999999999995</v>
      </c>
      <c r="V631">
        <v>0.08</v>
      </c>
      <c r="W631">
        <v>8.3400000000000002E-2</v>
      </c>
      <c r="X631">
        <v>1.946</v>
      </c>
      <c r="Y631">
        <v>7.2140000000000004</v>
      </c>
      <c r="Z631">
        <v>4.8330000000000002</v>
      </c>
    </row>
    <row r="632" spans="1:26" x14ac:dyDescent="0.25">
      <c r="A632" s="1" t="s">
        <v>529</v>
      </c>
      <c r="J632" t="str">
        <f t="shared" si="31"/>
        <v xml:space="preserve">       137.0        0.95      0.8822      0.0707      0.0758       1.769       6.558       4.270              </v>
      </c>
      <c r="S632">
        <v>137</v>
      </c>
      <c r="T632">
        <v>0.95</v>
      </c>
      <c r="U632">
        <v>0.88219999999999998</v>
      </c>
      <c r="V632">
        <v>7.0699999999999999E-2</v>
      </c>
      <c r="W632">
        <v>7.5800000000000006E-2</v>
      </c>
      <c r="X632">
        <v>1.7689999999999999</v>
      </c>
      <c r="Y632">
        <v>6.5579999999999998</v>
      </c>
      <c r="Z632">
        <v>4.2699999999999996</v>
      </c>
    </row>
    <row r="633" spans="1:26" x14ac:dyDescent="0.25">
      <c r="A633" s="1" t="s">
        <v>530</v>
      </c>
      <c r="J633" t="str">
        <f t="shared" si="31"/>
        <v xml:space="preserve">       143.3        0.99      0.8959      0.0612      0.0675       1.576       5.842       3.695              </v>
      </c>
      <c r="S633">
        <v>143.30000000000001</v>
      </c>
      <c r="T633">
        <v>0.99</v>
      </c>
      <c r="U633">
        <v>0.89590000000000003</v>
      </c>
      <c r="V633">
        <v>6.1199999999999997E-2</v>
      </c>
      <c r="W633">
        <v>6.7500000000000004E-2</v>
      </c>
      <c r="X633">
        <v>1.5760000000000001</v>
      </c>
      <c r="Y633">
        <v>5.8419999999999996</v>
      </c>
      <c r="Z633">
        <v>3.6949999999999998</v>
      </c>
    </row>
    <row r="634" spans="1:26" x14ac:dyDescent="0.25">
      <c r="A634" s="1" t="s">
        <v>531</v>
      </c>
      <c r="J634" t="str">
        <f t="shared" si="31"/>
        <v xml:space="preserve">       149.5        1.03      0.9063      0.0515      0.0586       1.367       5.068       3.108              </v>
      </c>
      <c r="S634">
        <v>149.5</v>
      </c>
      <c r="T634">
        <v>1.03</v>
      </c>
      <c r="U634">
        <v>0.90629999999999999</v>
      </c>
      <c r="V634">
        <v>5.1499999999999997E-2</v>
      </c>
      <c r="W634">
        <v>5.8599999999999999E-2</v>
      </c>
      <c r="X634">
        <v>1.367</v>
      </c>
      <c r="Y634">
        <v>5.0679999999999996</v>
      </c>
      <c r="Z634">
        <v>3.1080000000000001</v>
      </c>
    </row>
    <row r="635" spans="1:26" x14ac:dyDescent="0.25">
      <c r="A635" s="1" t="s">
        <v>532</v>
      </c>
      <c r="J635" t="str">
        <f t="shared" si="31"/>
        <v xml:space="preserve">       155.7        1.07      0.9133      0.0415      0.0489       1.140       4.227       2.508              </v>
      </c>
      <c r="S635">
        <v>155.69999999999999</v>
      </c>
      <c r="T635">
        <v>1.07</v>
      </c>
      <c r="U635">
        <v>0.9133</v>
      </c>
      <c r="V635">
        <v>4.1500000000000002E-2</v>
      </c>
      <c r="W635">
        <v>4.8899999999999999E-2</v>
      </c>
      <c r="X635">
        <v>1.1399999999999999</v>
      </c>
      <c r="Y635">
        <v>4.2270000000000003</v>
      </c>
      <c r="Z635">
        <v>2.508</v>
      </c>
    </row>
    <row r="636" spans="1:26" x14ac:dyDescent="0.25">
      <c r="A636" s="1" t="s">
        <v>533</v>
      </c>
      <c r="J636" t="str">
        <f t="shared" si="31"/>
        <v xml:space="preserve">       162.0        1.12      0.9121      0.0314      0.0385       0.897       3.327       1.895              </v>
      </c>
      <c r="S636">
        <v>162</v>
      </c>
      <c r="T636">
        <v>1.1200000000000001</v>
      </c>
      <c r="U636">
        <v>0.91210000000000002</v>
      </c>
      <c r="V636">
        <v>3.1399999999999997E-2</v>
      </c>
      <c r="W636">
        <v>3.85E-2</v>
      </c>
      <c r="X636">
        <v>0.89700000000000002</v>
      </c>
      <c r="Y636">
        <v>3.327</v>
      </c>
      <c r="Z636">
        <v>1.895</v>
      </c>
    </row>
    <row r="637" spans="1:26" x14ac:dyDescent="0.25">
      <c r="A637" s="1" t="s">
        <v>534</v>
      </c>
      <c r="J637" t="str">
        <f t="shared" si="31"/>
        <v xml:space="preserve">       168.2        1.16      0.8936      0.0212      0.0275       0.643       2.382       1.280              </v>
      </c>
      <c r="S637">
        <v>168.2</v>
      </c>
      <c r="T637">
        <v>1.1599999999999999</v>
      </c>
      <c r="U637">
        <v>0.89359999999999995</v>
      </c>
      <c r="V637">
        <v>2.12E-2</v>
      </c>
      <c r="W637">
        <v>2.75E-2</v>
      </c>
      <c r="X637">
        <v>0.64300000000000002</v>
      </c>
      <c r="Y637">
        <v>2.3820000000000001</v>
      </c>
      <c r="Z637">
        <v>1.28</v>
      </c>
    </row>
    <row r="638" spans="1:26" x14ac:dyDescent="0.25">
      <c r="A638" s="1" t="s">
        <v>535</v>
      </c>
      <c r="J638" t="str">
        <f t="shared" si="31"/>
        <v xml:space="preserve">       174.4        1.20      0.8176      0.0107      0.0158       0.368       1.365       0.647              </v>
      </c>
      <c r="S638">
        <v>174.4</v>
      </c>
      <c r="T638">
        <v>1.2</v>
      </c>
      <c r="U638">
        <v>0.81759999999999999</v>
      </c>
      <c r="V638">
        <v>1.0699999999999999E-2</v>
      </c>
      <c r="W638">
        <v>1.5800000000000002E-2</v>
      </c>
      <c r="X638">
        <v>0.36799999999999999</v>
      </c>
      <c r="Y638">
        <v>1.365</v>
      </c>
      <c r="Z638">
        <v>0.64700000000000002</v>
      </c>
    </row>
    <row r="639" spans="1:26" x14ac:dyDescent="0.25">
      <c r="A639" s="1" t="s">
        <v>536</v>
      </c>
      <c r="J639" t="str">
        <f t="shared" si="31"/>
        <v xml:space="preserve">       180.6        1.25     -0.0096      0.0000      0.0039       0.092       0.341      -0.002              </v>
      </c>
      <c r="S639">
        <v>180.6</v>
      </c>
      <c r="T639">
        <v>1.25</v>
      </c>
      <c r="U639">
        <v>-9.5999999999999992E-3</v>
      </c>
      <c r="V639">
        <v>0</v>
      </c>
      <c r="W639">
        <v>3.8999999999999998E-3</v>
      </c>
      <c r="X639">
        <v>9.1999999999999998E-2</v>
      </c>
      <c r="Y639">
        <v>-0.34100000000000003</v>
      </c>
      <c r="Z639">
        <v>2E-3</v>
      </c>
    </row>
    <row r="640" spans="1:26" x14ac:dyDescent="0.25">
      <c r="A640" s="1" t="s">
        <v>1</v>
      </c>
    </row>
    <row r="641" spans="1:26" x14ac:dyDescent="0.25">
      <c r="A641" s="1" t="s">
        <v>1</v>
      </c>
    </row>
    <row r="642" spans="1:26" x14ac:dyDescent="0.25">
      <c r="A642" s="1" t="s">
        <v>1</v>
      </c>
    </row>
    <row r="643" spans="1:26" x14ac:dyDescent="0.25">
      <c r="A643" s="1" t="s">
        <v>537</v>
      </c>
    </row>
    <row r="644" spans="1:26" x14ac:dyDescent="0.25">
      <c r="A644" s="1" t="s">
        <v>1</v>
      </c>
    </row>
    <row r="645" spans="1:26" x14ac:dyDescent="0.25">
      <c r="A645" s="1" t="s">
        <v>9</v>
      </c>
      <c r="J645" t="str">
        <f>A645</f>
        <v xml:space="preserve">         V          J           Pe         Ct          Cp          PWR         Torque      Thrust             </v>
      </c>
      <c r="S645" t="s">
        <v>662</v>
      </c>
      <c r="T645" t="s">
        <v>663</v>
      </c>
      <c r="U645" t="s">
        <v>664</v>
      </c>
      <c r="V645" t="s">
        <v>665</v>
      </c>
      <c r="W645" t="s">
        <v>666</v>
      </c>
      <c r="X645" t="s">
        <v>667</v>
      </c>
      <c r="Y645" t="s">
        <v>668</v>
      </c>
      <c r="Z645" t="s">
        <v>669</v>
      </c>
    </row>
    <row r="646" spans="1:26" x14ac:dyDescent="0.25">
      <c r="A646" s="1" t="s">
        <v>10</v>
      </c>
      <c r="J646" t="str">
        <f t="shared" ref="J646:J676" si="32">A646</f>
        <v xml:space="preserve">       (mph)     (Adv Ratio)                                       (Hp)        (In-Lbf)     (Lbf)             </v>
      </c>
      <c r="S646" t="s">
        <v>670</v>
      </c>
      <c r="T646" t="s">
        <v>671</v>
      </c>
      <c r="X646" t="s">
        <v>672</v>
      </c>
      <c r="Y646" t="s">
        <v>673</v>
      </c>
      <c r="Z646" t="s">
        <v>674</v>
      </c>
    </row>
    <row r="647" spans="1:26" x14ac:dyDescent="0.25">
      <c r="A647" s="1" t="s">
        <v>538</v>
      </c>
      <c r="J647" t="str">
        <f t="shared" si="32"/>
        <v xml:space="preserve">         0.0        0.00      0.0000      0.1570      0.3290       9.114      31.911      10.632              </v>
      </c>
      <c r="S647">
        <v>0</v>
      </c>
      <c r="T647">
        <v>0</v>
      </c>
      <c r="U647">
        <v>0</v>
      </c>
      <c r="V647">
        <v>0.157</v>
      </c>
      <c r="W647">
        <v>0.32900000000000001</v>
      </c>
      <c r="X647">
        <v>9.1140000000000008</v>
      </c>
      <c r="Y647" t="s">
        <v>675</v>
      </c>
      <c r="Z647">
        <v>0.63200000000000001</v>
      </c>
    </row>
    <row r="648" spans="1:26" x14ac:dyDescent="0.25">
      <c r="A648" s="1" t="s">
        <v>539</v>
      </c>
      <c r="J648" t="str">
        <f t="shared" si="32"/>
        <v xml:space="preserve">         6.6        0.04      0.0213      0.1576      0.3182       8.814      30.862      10.672              </v>
      </c>
      <c r="S648">
        <v>6.6</v>
      </c>
      <c r="T648">
        <v>0.04</v>
      </c>
      <c r="U648">
        <v>2.1299999999999999E-2</v>
      </c>
      <c r="V648">
        <v>0.15759999999999999</v>
      </c>
      <c r="W648">
        <v>0.31819999999999998</v>
      </c>
      <c r="X648">
        <v>8.8140000000000001</v>
      </c>
      <c r="Y648" t="s">
        <v>676</v>
      </c>
      <c r="Z648">
        <v>0.67200000000000004</v>
      </c>
    </row>
    <row r="649" spans="1:26" x14ac:dyDescent="0.25">
      <c r="A649" s="1" t="s">
        <v>540</v>
      </c>
      <c r="J649" t="str">
        <f t="shared" si="32"/>
        <v xml:space="preserve">        13.2        0.09      0.0443      0.1581      0.3069       8.503      29.771      10.705              </v>
      </c>
      <c r="S649">
        <v>13.2</v>
      </c>
      <c r="T649">
        <v>0.09</v>
      </c>
      <c r="U649">
        <v>4.4299999999999999E-2</v>
      </c>
      <c r="V649">
        <v>0.15809999999999999</v>
      </c>
      <c r="W649">
        <v>0.30690000000000001</v>
      </c>
      <c r="X649">
        <v>8.5030000000000001</v>
      </c>
      <c r="Y649" t="s">
        <v>677</v>
      </c>
      <c r="Z649">
        <v>0.70499999999999996</v>
      </c>
    </row>
    <row r="650" spans="1:26" x14ac:dyDescent="0.25">
      <c r="A650" s="1" t="s">
        <v>541</v>
      </c>
      <c r="J650" t="str">
        <f t="shared" si="32"/>
        <v xml:space="preserve">        19.8        0.13      0.0692      0.1584      0.2953       8.181      28.643      10.729              </v>
      </c>
      <c r="S650">
        <v>19.8</v>
      </c>
      <c r="T650">
        <v>0.13</v>
      </c>
      <c r="U650">
        <v>6.9199999999999998E-2</v>
      </c>
      <c r="V650">
        <v>0.15840000000000001</v>
      </c>
      <c r="W650">
        <v>0.29530000000000001</v>
      </c>
      <c r="X650">
        <v>8.1809999999999992</v>
      </c>
      <c r="Y650" t="s">
        <v>678</v>
      </c>
      <c r="Z650">
        <v>0.72899999999999998</v>
      </c>
    </row>
    <row r="651" spans="1:26" x14ac:dyDescent="0.25">
      <c r="A651" s="1" t="s">
        <v>542</v>
      </c>
      <c r="J651" t="str">
        <f t="shared" si="32"/>
        <v xml:space="preserve">        26.4        0.17      0.0962      0.1586      0.2834       7.850      27.487      10.743              </v>
      </c>
      <c r="S651">
        <v>26.4</v>
      </c>
      <c r="T651">
        <v>0.17</v>
      </c>
      <c r="U651">
        <v>9.6199999999999994E-2</v>
      </c>
      <c r="V651">
        <v>0.15859999999999999</v>
      </c>
      <c r="W651">
        <v>0.28339999999999999</v>
      </c>
      <c r="X651">
        <v>7.85</v>
      </c>
      <c r="Y651" t="s">
        <v>679</v>
      </c>
      <c r="Z651">
        <v>0.74299999999999999</v>
      </c>
    </row>
    <row r="652" spans="1:26" x14ac:dyDescent="0.25">
      <c r="A652" s="1" t="s">
        <v>543</v>
      </c>
      <c r="J652" t="str">
        <f t="shared" si="32"/>
        <v xml:space="preserve">        33.0        0.21      0.1258      0.1587      0.2711       7.509      26.293      10.745              </v>
      </c>
      <c r="S652">
        <v>33</v>
      </c>
      <c r="T652">
        <v>0.21</v>
      </c>
      <c r="U652">
        <v>0.1258</v>
      </c>
      <c r="V652">
        <v>0.15870000000000001</v>
      </c>
      <c r="W652">
        <v>0.27110000000000001</v>
      </c>
      <c r="X652">
        <v>7.5090000000000003</v>
      </c>
      <c r="Y652" t="s">
        <v>680</v>
      </c>
      <c r="Z652">
        <v>0.745</v>
      </c>
    </row>
    <row r="653" spans="1:26" x14ac:dyDescent="0.25">
      <c r="A653" s="1" t="s">
        <v>544</v>
      </c>
      <c r="J653" t="str">
        <f t="shared" si="32"/>
        <v xml:space="preserve">        39.5        0.26      0.1583      0.1585      0.2581       7.150      25.033      10.731              </v>
      </c>
      <c r="S653">
        <v>39.5</v>
      </c>
      <c r="T653">
        <v>0.26</v>
      </c>
      <c r="U653">
        <v>0.1583</v>
      </c>
      <c r="V653">
        <v>0.1585</v>
      </c>
      <c r="W653">
        <v>0.2581</v>
      </c>
      <c r="X653">
        <v>7.15</v>
      </c>
      <c r="Y653" t="s">
        <v>681</v>
      </c>
      <c r="Z653">
        <v>0.73099999999999998</v>
      </c>
    </row>
    <row r="654" spans="1:26" x14ac:dyDescent="0.25">
      <c r="A654" s="1" t="s">
        <v>545</v>
      </c>
      <c r="J654" t="str">
        <f t="shared" si="32"/>
        <v xml:space="preserve">        46.1        0.30      0.1943      0.1580      0.2445       6.773      23.715      10.697              </v>
      </c>
      <c r="S654">
        <v>46.1</v>
      </c>
      <c r="T654">
        <v>0.3</v>
      </c>
      <c r="U654">
        <v>0.1943</v>
      </c>
      <c r="V654">
        <v>0.158</v>
      </c>
      <c r="W654">
        <v>0.2445</v>
      </c>
      <c r="X654">
        <v>6.7729999999999997</v>
      </c>
      <c r="Y654" t="s">
        <v>682</v>
      </c>
      <c r="Z654">
        <v>0.69699999999999995</v>
      </c>
    </row>
    <row r="655" spans="1:26" x14ac:dyDescent="0.25">
      <c r="A655" s="1" t="s">
        <v>546</v>
      </c>
      <c r="J655" t="str">
        <f t="shared" si="32"/>
        <v xml:space="preserve">        52.7        0.34      0.2339      0.1572      0.2310       6.401      22.411      10.647              </v>
      </c>
      <c r="S655">
        <v>52.7</v>
      </c>
      <c r="T655">
        <v>0.34</v>
      </c>
      <c r="U655">
        <v>0.2339</v>
      </c>
      <c r="V655">
        <v>0.15720000000000001</v>
      </c>
      <c r="W655">
        <v>0.23100000000000001</v>
      </c>
      <c r="X655">
        <v>6.4009999999999998</v>
      </c>
      <c r="Y655" t="s">
        <v>683</v>
      </c>
      <c r="Z655">
        <v>0.64700000000000002</v>
      </c>
    </row>
    <row r="656" spans="1:26" x14ac:dyDescent="0.25">
      <c r="A656" s="1" t="s">
        <v>547</v>
      </c>
      <c r="J656" t="str">
        <f t="shared" si="32"/>
        <v xml:space="preserve">        59.3        0.39      0.2782      0.1560      0.2169       6.007      21.034      10.566              </v>
      </c>
      <c r="S656">
        <v>59.3</v>
      </c>
      <c r="T656">
        <v>0.39</v>
      </c>
      <c r="U656">
        <v>0.2782</v>
      </c>
      <c r="V656">
        <v>0.156</v>
      </c>
      <c r="W656">
        <v>0.21690000000000001</v>
      </c>
      <c r="X656">
        <v>6.0069999999999997</v>
      </c>
      <c r="Y656" t="s">
        <v>684</v>
      </c>
      <c r="Z656">
        <v>0.56599999999999995</v>
      </c>
    </row>
    <row r="657" spans="1:26" x14ac:dyDescent="0.25">
      <c r="A657" s="1" t="s">
        <v>548</v>
      </c>
      <c r="J657" t="str">
        <f t="shared" si="32"/>
        <v xml:space="preserve">        65.9        0.43      0.3274      0.1544      0.2026       5.613      19.652      10.454              </v>
      </c>
      <c r="S657">
        <v>65.900000000000006</v>
      </c>
      <c r="T657">
        <v>0.43</v>
      </c>
      <c r="U657">
        <v>0.32740000000000002</v>
      </c>
      <c r="V657">
        <v>0.15440000000000001</v>
      </c>
      <c r="W657">
        <v>0.2026</v>
      </c>
      <c r="X657">
        <v>5.6130000000000004</v>
      </c>
      <c r="Y657" t="s">
        <v>685</v>
      </c>
      <c r="Z657">
        <v>0.45400000000000001</v>
      </c>
    </row>
    <row r="658" spans="1:26" x14ac:dyDescent="0.25">
      <c r="A658" s="1" t="s">
        <v>549</v>
      </c>
      <c r="J658" t="str">
        <f t="shared" si="32"/>
        <v xml:space="preserve">        72.5        0.47      0.3823      0.1523      0.1883       5.215      18.261      10.313              </v>
      </c>
      <c r="S658">
        <v>72.5</v>
      </c>
      <c r="T658">
        <v>0.47</v>
      </c>
      <c r="U658">
        <v>0.38229999999999997</v>
      </c>
      <c r="V658">
        <v>0.15229999999999999</v>
      </c>
      <c r="W658">
        <v>0.1883</v>
      </c>
      <c r="X658">
        <v>5.2149999999999999</v>
      </c>
      <c r="Y658" t="s">
        <v>686</v>
      </c>
      <c r="Z658">
        <v>0.313</v>
      </c>
    </row>
    <row r="659" spans="1:26" x14ac:dyDescent="0.25">
      <c r="A659" s="1" t="s">
        <v>550</v>
      </c>
      <c r="J659" t="str">
        <f t="shared" si="32"/>
        <v xml:space="preserve">        79.1        0.52      0.4441      0.1497      0.1738       4.814      16.855      10.135              </v>
      </c>
      <c r="S659">
        <v>79.099999999999994</v>
      </c>
      <c r="T659">
        <v>0.52</v>
      </c>
      <c r="U659">
        <v>0.44409999999999999</v>
      </c>
      <c r="V659">
        <v>0.1497</v>
      </c>
      <c r="W659">
        <v>0.17380000000000001</v>
      </c>
      <c r="X659">
        <v>4.8140000000000001</v>
      </c>
      <c r="Y659" t="s">
        <v>687</v>
      </c>
      <c r="Z659">
        <v>0.13500000000000001</v>
      </c>
    </row>
    <row r="660" spans="1:26" x14ac:dyDescent="0.25">
      <c r="A660" s="1" t="s">
        <v>551</v>
      </c>
      <c r="J660" t="str">
        <f t="shared" si="32"/>
        <v xml:space="preserve">        85.7        0.56      0.5132      0.1465      0.1594       4.415      15.460       9.918              </v>
      </c>
      <c r="S660">
        <v>85.7</v>
      </c>
      <c r="T660">
        <v>0.56000000000000005</v>
      </c>
      <c r="U660">
        <v>0.51319999999999999</v>
      </c>
      <c r="V660">
        <v>0.14649999999999999</v>
      </c>
      <c r="W660">
        <v>0.15939999999999999</v>
      </c>
      <c r="X660">
        <v>4.415</v>
      </c>
      <c r="Y660">
        <v>15.46</v>
      </c>
      <c r="Z660">
        <v>9.9179999999999993</v>
      </c>
    </row>
    <row r="661" spans="1:26" x14ac:dyDescent="0.25">
      <c r="A661" s="1" t="s">
        <v>552</v>
      </c>
      <c r="J661" t="str">
        <f t="shared" si="32"/>
        <v xml:space="preserve">        92.3        0.60      0.5914      0.1424      0.1449       4.013      14.052       9.645              </v>
      </c>
      <c r="S661">
        <v>92.3</v>
      </c>
      <c r="T661">
        <v>0.6</v>
      </c>
      <c r="U661">
        <v>0.59140000000000004</v>
      </c>
      <c r="V661">
        <v>0.1424</v>
      </c>
      <c r="W661">
        <v>0.1449</v>
      </c>
      <c r="X661">
        <v>4.0129999999999999</v>
      </c>
      <c r="Y661">
        <v>14.052</v>
      </c>
      <c r="Z661">
        <v>9.6449999999999996</v>
      </c>
    </row>
    <row r="662" spans="1:26" x14ac:dyDescent="0.25">
      <c r="A662" s="1" t="s">
        <v>553</v>
      </c>
      <c r="J662" t="str">
        <f t="shared" si="32"/>
        <v xml:space="preserve">        98.9        0.64      0.6711      0.1358      0.1304       3.612      12.647       9.194              </v>
      </c>
      <c r="S662">
        <v>98.9</v>
      </c>
      <c r="T662">
        <v>0.64</v>
      </c>
      <c r="U662">
        <v>0.67110000000000003</v>
      </c>
      <c r="V662">
        <v>0.1358</v>
      </c>
      <c r="W662">
        <v>0.13039999999999999</v>
      </c>
      <c r="X662">
        <v>3.6120000000000001</v>
      </c>
      <c r="Y662">
        <v>12.647</v>
      </c>
      <c r="Z662">
        <v>9.1940000000000008</v>
      </c>
    </row>
    <row r="663" spans="1:26" x14ac:dyDescent="0.25">
      <c r="A663" s="1" t="s">
        <v>554</v>
      </c>
      <c r="J663" t="str">
        <f t="shared" si="32"/>
        <v xml:space="preserve">       105.5        0.69      0.7377      0.1273      0.1186       3.286      11.505       8.619              </v>
      </c>
      <c r="S663">
        <v>105.5</v>
      </c>
      <c r="T663">
        <v>0.69</v>
      </c>
      <c r="U663">
        <v>0.73770000000000002</v>
      </c>
      <c r="V663">
        <v>0.1273</v>
      </c>
      <c r="W663">
        <v>0.1186</v>
      </c>
      <c r="X663">
        <v>3.286</v>
      </c>
      <c r="Y663">
        <v>11.505000000000001</v>
      </c>
      <c r="Z663">
        <v>8.6189999999999998</v>
      </c>
    </row>
    <row r="664" spans="1:26" x14ac:dyDescent="0.25">
      <c r="A664" s="1" t="s">
        <v>555</v>
      </c>
      <c r="J664" t="str">
        <f t="shared" si="32"/>
        <v xml:space="preserve">       112.1        0.73      0.7778      0.1184      0.1112       3.079      10.782       8.015              </v>
      </c>
      <c r="S664">
        <v>112.1</v>
      </c>
      <c r="T664">
        <v>0.73</v>
      </c>
      <c r="U664">
        <v>0.77780000000000005</v>
      </c>
      <c r="V664">
        <v>0.11840000000000001</v>
      </c>
      <c r="W664">
        <v>0.11119999999999999</v>
      </c>
      <c r="X664">
        <v>3.0790000000000002</v>
      </c>
      <c r="Y664">
        <v>10.782</v>
      </c>
      <c r="Z664">
        <v>8.0150000000000006</v>
      </c>
    </row>
    <row r="665" spans="1:26" x14ac:dyDescent="0.25">
      <c r="A665" s="1" t="s">
        <v>556</v>
      </c>
      <c r="J665" t="str">
        <f t="shared" si="32"/>
        <v xml:space="preserve">       118.6        0.77      0.8064      0.1088      0.1043       2.890      10.119       7.366              </v>
      </c>
      <c r="S665">
        <v>118.6</v>
      </c>
      <c r="T665">
        <v>0.77</v>
      </c>
      <c r="U665">
        <v>0.80640000000000001</v>
      </c>
      <c r="V665">
        <v>0.10879999999999999</v>
      </c>
      <c r="W665">
        <v>0.1043</v>
      </c>
      <c r="X665">
        <v>2.89</v>
      </c>
      <c r="Y665">
        <v>10.119</v>
      </c>
      <c r="Z665">
        <v>7.3659999999999997</v>
      </c>
    </row>
    <row r="666" spans="1:26" x14ac:dyDescent="0.25">
      <c r="A666" s="1" t="s">
        <v>557</v>
      </c>
      <c r="J666" t="str">
        <f t="shared" si="32"/>
        <v xml:space="preserve">       125.2        0.82      0.8284      0.0997      0.0982       2.722       9.529       6.751              </v>
      </c>
      <c r="S666">
        <v>125.2</v>
      </c>
      <c r="T666">
        <v>0.82</v>
      </c>
      <c r="U666">
        <v>0.82840000000000003</v>
      </c>
      <c r="V666">
        <v>9.9699999999999997E-2</v>
      </c>
      <c r="W666">
        <v>9.8199999999999996E-2</v>
      </c>
      <c r="X666">
        <v>2.722</v>
      </c>
      <c r="Y666">
        <v>9.5289999999999999</v>
      </c>
      <c r="Z666">
        <v>6.7510000000000003</v>
      </c>
    </row>
    <row r="667" spans="1:26" x14ac:dyDescent="0.25">
      <c r="A667" s="1" t="s">
        <v>558</v>
      </c>
      <c r="J667" t="str">
        <f t="shared" si="32"/>
        <v xml:space="preserve">       131.8        0.86      0.8481      0.0907      0.0919       2.545       8.910       6.139              </v>
      </c>
      <c r="S667">
        <v>131.80000000000001</v>
      </c>
      <c r="T667">
        <v>0.86</v>
      </c>
      <c r="U667">
        <v>0.84809999999999997</v>
      </c>
      <c r="V667">
        <v>9.0700000000000003E-2</v>
      </c>
      <c r="W667">
        <v>9.1899999999999996E-2</v>
      </c>
      <c r="X667">
        <v>2.5449999999999999</v>
      </c>
      <c r="Y667">
        <v>8.91</v>
      </c>
      <c r="Z667">
        <v>6.1390000000000002</v>
      </c>
    </row>
    <row r="668" spans="1:26" x14ac:dyDescent="0.25">
      <c r="A668" s="1" t="s">
        <v>559</v>
      </c>
      <c r="J668" t="str">
        <f t="shared" si="32"/>
        <v xml:space="preserve">       138.4        0.90      0.8661      0.0814      0.0848       2.351       8.230       5.515              </v>
      </c>
      <c r="S668">
        <v>138.4</v>
      </c>
      <c r="T668">
        <v>0.9</v>
      </c>
      <c r="U668">
        <v>0.86609999999999998</v>
      </c>
      <c r="V668">
        <v>8.14E-2</v>
      </c>
      <c r="W668">
        <v>8.48E-2</v>
      </c>
      <c r="X668">
        <v>2.351</v>
      </c>
      <c r="Y668">
        <v>8.23</v>
      </c>
      <c r="Z668">
        <v>5.5149999999999997</v>
      </c>
    </row>
    <row r="669" spans="1:26" x14ac:dyDescent="0.25">
      <c r="A669" s="1" t="s">
        <v>560</v>
      </c>
      <c r="J669" t="str">
        <f t="shared" si="32"/>
        <v xml:space="preserve">       145.0        0.95      0.8823      0.0720      0.0771       2.136       7.479       4.874              </v>
      </c>
      <c r="S669">
        <v>145</v>
      </c>
      <c r="T669">
        <v>0.95</v>
      </c>
      <c r="U669">
        <v>0.88229999999999997</v>
      </c>
      <c r="V669">
        <v>7.1999999999999995E-2</v>
      </c>
      <c r="W669">
        <v>7.7100000000000002E-2</v>
      </c>
      <c r="X669">
        <v>2.1360000000000001</v>
      </c>
      <c r="Y669">
        <v>7.4790000000000001</v>
      </c>
      <c r="Z669">
        <v>4.8739999999999997</v>
      </c>
    </row>
    <row r="670" spans="1:26" x14ac:dyDescent="0.25">
      <c r="A670" s="1" t="s">
        <v>561</v>
      </c>
      <c r="J670" t="str">
        <f t="shared" si="32"/>
        <v xml:space="preserve">       151.6        0.99      0.8964      0.0623      0.0687       1.903       6.662       4.219              </v>
      </c>
      <c r="S670">
        <v>151.6</v>
      </c>
      <c r="T670">
        <v>0.99</v>
      </c>
      <c r="U670">
        <v>0.89639999999999997</v>
      </c>
      <c r="V670">
        <v>6.2300000000000001E-2</v>
      </c>
      <c r="W670">
        <v>6.8699999999999997E-2</v>
      </c>
      <c r="X670">
        <v>1.903</v>
      </c>
      <c r="Y670">
        <v>6.6619999999999999</v>
      </c>
      <c r="Z670">
        <v>4.2190000000000003</v>
      </c>
    </row>
    <row r="671" spans="1:26" x14ac:dyDescent="0.25">
      <c r="A671" s="1" t="s">
        <v>562</v>
      </c>
      <c r="J671" t="str">
        <f t="shared" si="32"/>
        <v xml:space="preserve">       158.2        1.03      0.9073      0.0525      0.0596       1.651       5.782       3.552              </v>
      </c>
      <c r="S671">
        <v>158.19999999999999</v>
      </c>
      <c r="T671">
        <v>1.03</v>
      </c>
      <c r="U671">
        <v>0.9073</v>
      </c>
      <c r="V671">
        <v>5.2499999999999998E-2</v>
      </c>
      <c r="W671">
        <v>5.96E-2</v>
      </c>
      <c r="X671">
        <v>1.651</v>
      </c>
      <c r="Y671">
        <v>5.782</v>
      </c>
      <c r="Z671">
        <v>3.552</v>
      </c>
    </row>
    <row r="672" spans="1:26" x14ac:dyDescent="0.25">
      <c r="A672" s="1" t="s">
        <v>563</v>
      </c>
      <c r="J672" t="str">
        <f t="shared" si="32"/>
        <v xml:space="preserve">       164.8        1.07      0.9147      0.0425      0.0498       1.381       4.835       2.875              </v>
      </c>
      <c r="S672">
        <v>164.8</v>
      </c>
      <c r="T672">
        <v>1.07</v>
      </c>
      <c r="U672">
        <v>0.91469999999999996</v>
      </c>
      <c r="V672">
        <v>4.2500000000000003E-2</v>
      </c>
      <c r="W672">
        <v>4.9799999999999997E-2</v>
      </c>
      <c r="X672">
        <v>1.381</v>
      </c>
      <c r="Y672">
        <v>4.835</v>
      </c>
      <c r="Z672">
        <v>2.875</v>
      </c>
    </row>
    <row r="673" spans="1:26" x14ac:dyDescent="0.25">
      <c r="A673" s="1" t="s">
        <v>564</v>
      </c>
      <c r="J673" t="str">
        <f t="shared" si="32"/>
        <v xml:space="preserve">       171.4        1.12      0.9145      0.0322      0.0393       1.089       3.812       2.179              </v>
      </c>
      <c r="S673">
        <v>171.4</v>
      </c>
      <c r="T673">
        <v>1.1200000000000001</v>
      </c>
      <c r="U673">
        <v>0.91449999999999998</v>
      </c>
      <c r="V673">
        <v>3.2199999999999999E-2</v>
      </c>
      <c r="W673">
        <v>3.9300000000000002E-2</v>
      </c>
      <c r="X673">
        <v>1.089</v>
      </c>
      <c r="Y673">
        <v>3.8119999999999998</v>
      </c>
      <c r="Z673">
        <v>2.1789999999999998</v>
      </c>
    </row>
    <row r="674" spans="1:26" x14ac:dyDescent="0.25">
      <c r="A674" s="1" t="s">
        <v>565</v>
      </c>
      <c r="J674" t="str">
        <f t="shared" si="32"/>
        <v xml:space="preserve">       178.0        1.16      0.8971      0.0217      0.0281       0.779       2.726       1.472              </v>
      </c>
      <c r="S674">
        <v>178</v>
      </c>
      <c r="T674">
        <v>1.1599999999999999</v>
      </c>
      <c r="U674">
        <v>0.89710000000000001</v>
      </c>
      <c r="V674">
        <v>2.1700000000000001E-2</v>
      </c>
      <c r="W674">
        <v>2.81E-2</v>
      </c>
      <c r="X674">
        <v>0.77900000000000003</v>
      </c>
      <c r="Y674">
        <v>2.726</v>
      </c>
      <c r="Z674">
        <v>1.472</v>
      </c>
    </row>
    <row r="675" spans="1:26" x14ac:dyDescent="0.25">
      <c r="A675" s="1" t="s">
        <v>566</v>
      </c>
      <c r="J675" t="str">
        <f t="shared" si="32"/>
        <v xml:space="preserve">       184.6        1.20      0.8225      0.0110      0.0161       0.446       1.562       0.745              </v>
      </c>
      <c r="S675">
        <v>184.6</v>
      </c>
      <c r="T675">
        <v>1.2</v>
      </c>
      <c r="U675">
        <v>0.82250000000000001</v>
      </c>
      <c r="V675">
        <v>1.0999999999999999E-2</v>
      </c>
      <c r="W675">
        <v>1.61E-2</v>
      </c>
      <c r="X675">
        <v>0.44600000000000001</v>
      </c>
      <c r="Y675">
        <v>1.5620000000000001</v>
      </c>
      <c r="Z675">
        <v>0.745</v>
      </c>
    </row>
    <row r="676" spans="1:26" x14ac:dyDescent="0.25">
      <c r="A676" s="1" t="s">
        <v>567</v>
      </c>
      <c r="J676" t="str">
        <f t="shared" si="32"/>
        <v xml:space="preserve">       191.1        1.25     -0.0090      0.0000      0.0040       0.111       0.387      -0.002              </v>
      </c>
      <c r="S676">
        <v>191.1</v>
      </c>
      <c r="T676">
        <v>1.25</v>
      </c>
      <c r="U676">
        <v>-8.9999999999999993E-3</v>
      </c>
      <c r="V676">
        <v>0</v>
      </c>
      <c r="W676">
        <v>4.0000000000000001E-3</v>
      </c>
      <c r="X676">
        <v>0.111</v>
      </c>
      <c r="Y676">
        <v>-0.38700000000000001</v>
      </c>
      <c r="Z676">
        <v>2E-3</v>
      </c>
    </row>
    <row r="677" spans="1:26" x14ac:dyDescent="0.25">
      <c r="A677" s="1" t="s">
        <v>1</v>
      </c>
    </row>
    <row r="678" spans="1:26" x14ac:dyDescent="0.25">
      <c r="A678" s="1" t="s">
        <v>1</v>
      </c>
    </row>
    <row r="679" spans="1:26" x14ac:dyDescent="0.25">
      <c r="A679" s="1" t="s">
        <v>1</v>
      </c>
    </row>
    <row r="680" spans="1:26" x14ac:dyDescent="0.25">
      <c r="A680" s="1" t="s">
        <v>568</v>
      </c>
    </row>
    <row r="681" spans="1:26" x14ac:dyDescent="0.25">
      <c r="A681" s="1" t="s">
        <v>1</v>
      </c>
    </row>
    <row r="682" spans="1:26" x14ac:dyDescent="0.25">
      <c r="A682" s="1" t="s">
        <v>9</v>
      </c>
    </row>
    <row r="683" spans="1:26" x14ac:dyDescent="0.25">
      <c r="A683" s="1" t="s">
        <v>10</v>
      </c>
    </row>
    <row r="684" spans="1:26" x14ac:dyDescent="0.25">
      <c r="A684" s="1" t="s">
        <v>569</v>
      </c>
    </row>
    <row r="685" spans="1:26" x14ac:dyDescent="0.25">
      <c r="A685" s="1" t="s">
        <v>570</v>
      </c>
    </row>
    <row r="686" spans="1:26" x14ac:dyDescent="0.25">
      <c r="A686" s="1" t="s">
        <v>571</v>
      </c>
    </row>
    <row r="687" spans="1:26" x14ac:dyDescent="0.25">
      <c r="A687" s="1" t="s">
        <v>572</v>
      </c>
    </row>
    <row r="688" spans="1:26" x14ac:dyDescent="0.25">
      <c r="A688" s="1" t="s">
        <v>573</v>
      </c>
    </row>
    <row r="689" spans="1:1" x14ac:dyDescent="0.25">
      <c r="A689" s="1" t="s">
        <v>574</v>
      </c>
    </row>
    <row r="690" spans="1:1" x14ac:dyDescent="0.25">
      <c r="A690" s="1" t="s">
        <v>575</v>
      </c>
    </row>
    <row r="691" spans="1:1" x14ac:dyDescent="0.25">
      <c r="A691" s="1" t="s">
        <v>576</v>
      </c>
    </row>
    <row r="692" spans="1:1" x14ac:dyDescent="0.25">
      <c r="A692" s="1" t="s">
        <v>577</v>
      </c>
    </row>
    <row r="693" spans="1:1" x14ac:dyDescent="0.25">
      <c r="A693" s="1" t="s">
        <v>578</v>
      </c>
    </row>
    <row r="694" spans="1:1" x14ac:dyDescent="0.25">
      <c r="A694" s="1" t="s">
        <v>579</v>
      </c>
    </row>
    <row r="695" spans="1:1" x14ac:dyDescent="0.25">
      <c r="A695" s="1" t="s">
        <v>580</v>
      </c>
    </row>
    <row r="696" spans="1:1" x14ac:dyDescent="0.25">
      <c r="A696" s="1" t="s">
        <v>581</v>
      </c>
    </row>
    <row r="697" spans="1:1" x14ac:dyDescent="0.25">
      <c r="A697" s="1" t="s">
        <v>582</v>
      </c>
    </row>
    <row r="698" spans="1:1" x14ac:dyDescent="0.25">
      <c r="A698" s="1" t="s">
        <v>583</v>
      </c>
    </row>
    <row r="699" spans="1:1" x14ac:dyDescent="0.25">
      <c r="A699" s="1" t="s">
        <v>584</v>
      </c>
    </row>
    <row r="700" spans="1:1" x14ac:dyDescent="0.25">
      <c r="A700" s="1" t="s">
        <v>585</v>
      </c>
    </row>
    <row r="701" spans="1:1" x14ac:dyDescent="0.25">
      <c r="A701" s="1" t="s">
        <v>586</v>
      </c>
    </row>
    <row r="702" spans="1:1" x14ac:dyDescent="0.25">
      <c r="A702" s="1" t="s">
        <v>587</v>
      </c>
    </row>
    <row r="703" spans="1:1" x14ac:dyDescent="0.25">
      <c r="A703" s="1" t="s">
        <v>588</v>
      </c>
    </row>
    <row r="704" spans="1:1" x14ac:dyDescent="0.25">
      <c r="A704" s="1" t="s">
        <v>589</v>
      </c>
    </row>
    <row r="705" spans="1:1" x14ac:dyDescent="0.25">
      <c r="A705" s="1" t="s">
        <v>590</v>
      </c>
    </row>
    <row r="706" spans="1:1" x14ac:dyDescent="0.25">
      <c r="A706" s="1" t="s">
        <v>591</v>
      </c>
    </row>
    <row r="707" spans="1:1" x14ac:dyDescent="0.25">
      <c r="A707" s="1" t="s">
        <v>592</v>
      </c>
    </row>
    <row r="708" spans="1:1" x14ac:dyDescent="0.25">
      <c r="A708" s="1" t="s">
        <v>593</v>
      </c>
    </row>
    <row r="709" spans="1:1" x14ac:dyDescent="0.25">
      <c r="A709" s="1" t="s">
        <v>594</v>
      </c>
    </row>
    <row r="710" spans="1:1" x14ac:dyDescent="0.25">
      <c r="A710" s="1" t="s">
        <v>595</v>
      </c>
    </row>
    <row r="711" spans="1:1" x14ac:dyDescent="0.25">
      <c r="A711" s="1" t="s">
        <v>596</v>
      </c>
    </row>
    <row r="712" spans="1:1" x14ac:dyDescent="0.25">
      <c r="A712" s="1" t="s">
        <v>597</v>
      </c>
    </row>
    <row r="713" spans="1:1" x14ac:dyDescent="0.25">
      <c r="A713" s="1" t="s">
        <v>598</v>
      </c>
    </row>
    <row r="714" spans="1:1" x14ac:dyDescent="0.25">
      <c r="A714" s="1" t="s">
        <v>1</v>
      </c>
    </row>
    <row r="715" spans="1:1" x14ac:dyDescent="0.25">
      <c r="A715" s="1" t="s">
        <v>1</v>
      </c>
    </row>
    <row r="716" spans="1:1" x14ac:dyDescent="0.25">
      <c r="A716" s="1" t="s">
        <v>1</v>
      </c>
    </row>
    <row r="717" spans="1:1" x14ac:dyDescent="0.25">
      <c r="A717" s="1" t="s">
        <v>599</v>
      </c>
    </row>
    <row r="718" spans="1:1" x14ac:dyDescent="0.25">
      <c r="A718" s="1" t="s">
        <v>1</v>
      </c>
    </row>
    <row r="719" spans="1:1" x14ac:dyDescent="0.25">
      <c r="A719" s="1" t="s">
        <v>9</v>
      </c>
    </row>
    <row r="720" spans="1:1" x14ac:dyDescent="0.25">
      <c r="A720" s="1" t="s">
        <v>10</v>
      </c>
    </row>
    <row r="721" spans="1:1" x14ac:dyDescent="0.25">
      <c r="A721" s="1" t="s">
        <v>600</v>
      </c>
    </row>
    <row r="722" spans="1:1" x14ac:dyDescent="0.25">
      <c r="A722" s="1" t="s">
        <v>601</v>
      </c>
    </row>
    <row r="723" spans="1:1" x14ac:dyDescent="0.25">
      <c r="A723" s="1" t="s">
        <v>602</v>
      </c>
    </row>
    <row r="724" spans="1:1" x14ac:dyDescent="0.25">
      <c r="A724" s="1" t="s">
        <v>603</v>
      </c>
    </row>
    <row r="725" spans="1:1" x14ac:dyDescent="0.25">
      <c r="A725" s="1" t="s">
        <v>604</v>
      </c>
    </row>
    <row r="726" spans="1:1" x14ac:dyDescent="0.25">
      <c r="A726" s="1" t="s">
        <v>605</v>
      </c>
    </row>
    <row r="727" spans="1:1" x14ac:dyDescent="0.25">
      <c r="A727" s="1" t="s">
        <v>606</v>
      </c>
    </row>
    <row r="728" spans="1:1" x14ac:dyDescent="0.25">
      <c r="A728" s="1" t="s">
        <v>607</v>
      </c>
    </row>
    <row r="729" spans="1:1" x14ac:dyDescent="0.25">
      <c r="A729" s="1" t="s">
        <v>608</v>
      </c>
    </row>
    <row r="730" spans="1:1" x14ac:dyDescent="0.25">
      <c r="A730" s="1" t="s">
        <v>609</v>
      </c>
    </row>
    <row r="731" spans="1:1" x14ac:dyDescent="0.25">
      <c r="A731" s="1" t="s">
        <v>610</v>
      </c>
    </row>
    <row r="732" spans="1:1" x14ac:dyDescent="0.25">
      <c r="A732" s="1" t="s">
        <v>611</v>
      </c>
    </row>
    <row r="733" spans="1:1" x14ac:dyDescent="0.25">
      <c r="A733" s="1" t="s">
        <v>612</v>
      </c>
    </row>
    <row r="734" spans="1:1" x14ac:dyDescent="0.25">
      <c r="A734" s="1" t="s">
        <v>613</v>
      </c>
    </row>
    <row r="735" spans="1:1" x14ac:dyDescent="0.25">
      <c r="A735" s="1" t="s">
        <v>614</v>
      </c>
    </row>
    <row r="736" spans="1:1" x14ac:dyDescent="0.25">
      <c r="A736" s="1" t="s">
        <v>615</v>
      </c>
    </row>
    <row r="737" spans="1:1" x14ac:dyDescent="0.25">
      <c r="A737" s="1" t="s">
        <v>616</v>
      </c>
    </row>
    <row r="738" spans="1:1" x14ac:dyDescent="0.25">
      <c r="A738" s="1" t="s">
        <v>617</v>
      </c>
    </row>
    <row r="739" spans="1:1" x14ac:dyDescent="0.25">
      <c r="A739" s="1" t="s">
        <v>618</v>
      </c>
    </row>
    <row r="740" spans="1:1" x14ac:dyDescent="0.25">
      <c r="A740" s="1" t="s">
        <v>619</v>
      </c>
    </row>
    <row r="741" spans="1:1" x14ac:dyDescent="0.25">
      <c r="A741" s="1" t="s">
        <v>620</v>
      </c>
    </row>
    <row r="742" spans="1:1" x14ac:dyDescent="0.25">
      <c r="A742" s="1" t="s">
        <v>621</v>
      </c>
    </row>
    <row r="743" spans="1:1" x14ac:dyDescent="0.25">
      <c r="A743" s="1" t="s">
        <v>622</v>
      </c>
    </row>
    <row r="744" spans="1:1" x14ac:dyDescent="0.25">
      <c r="A744" s="1" t="s">
        <v>623</v>
      </c>
    </row>
    <row r="745" spans="1:1" x14ac:dyDescent="0.25">
      <c r="A745" s="1" t="s">
        <v>624</v>
      </c>
    </row>
    <row r="746" spans="1:1" x14ac:dyDescent="0.25">
      <c r="A746" s="1" t="s">
        <v>625</v>
      </c>
    </row>
    <row r="747" spans="1:1" x14ac:dyDescent="0.25">
      <c r="A747" s="1" t="s">
        <v>626</v>
      </c>
    </row>
    <row r="748" spans="1:1" x14ac:dyDescent="0.25">
      <c r="A748" s="1" t="s">
        <v>627</v>
      </c>
    </row>
    <row r="749" spans="1:1" x14ac:dyDescent="0.25">
      <c r="A749" s="1" t="s">
        <v>628</v>
      </c>
    </row>
    <row r="750" spans="1:1" x14ac:dyDescent="0.25">
      <c r="A750" s="1" t="s">
        <v>629</v>
      </c>
    </row>
    <row r="751" spans="1:1" x14ac:dyDescent="0.25">
      <c r="A751" s="1" t="s">
        <v>1</v>
      </c>
    </row>
    <row r="752" spans="1:1" x14ac:dyDescent="0.25">
      <c r="A752" s="1" t="s">
        <v>1</v>
      </c>
    </row>
    <row r="753" spans="1:1" x14ac:dyDescent="0.25">
      <c r="A753" s="1" t="s">
        <v>1</v>
      </c>
    </row>
    <row r="754" spans="1:1" x14ac:dyDescent="0.25">
      <c r="A754" s="1" t="s">
        <v>630</v>
      </c>
    </row>
    <row r="755" spans="1:1" x14ac:dyDescent="0.25">
      <c r="A755" s="1" t="s">
        <v>1</v>
      </c>
    </row>
    <row r="756" spans="1:1" x14ac:dyDescent="0.25">
      <c r="A756" s="1" t="s">
        <v>9</v>
      </c>
    </row>
    <row r="757" spans="1:1" x14ac:dyDescent="0.25">
      <c r="A757" s="1" t="s">
        <v>10</v>
      </c>
    </row>
    <row r="758" spans="1:1" x14ac:dyDescent="0.25">
      <c r="A758" s="1" t="s">
        <v>631</v>
      </c>
    </row>
    <row r="759" spans="1:1" x14ac:dyDescent="0.25">
      <c r="A759" s="1" t="s">
        <v>632</v>
      </c>
    </row>
    <row r="760" spans="1:1" x14ac:dyDescent="0.25">
      <c r="A760" s="1" t="s">
        <v>633</v>
      </c>
    </row>
    <row r="761" spans="1:1" x14ac:dyDescent="0.25">
      <c r="A761" s="1" t="s">
        <v>634</v>
      </c>
    </row>
    <row r="762" spans="1:1" x14ac:dyDescent="0.25">
      <c r="A762" s="1" t="s">
        <v>635</v>
      </c>
    </row>
    <row r="763" spans="1:1" x14ac:dyDescent="0.25">
      <c r="A763" s="1" t="s">
        <v>636</v>
      </c>
    </row>
    <row r="764" spans="1:1" x14ac:dyDescent="0.25">
      <c r="A764" s="1" t="s">
        <v>637</v>
      </c>
    </row>
    <row r="765" spans="1:1" x14ac:dyDescent="0.25">
      <c r="A765" s="1" t="s">
        <v>638</v>
      </c>
    </row>
    <row r="766" spans="1:1" x14ac:dyDescent="0.25">
      <c r="A766" s="1" t="s">
        <v>639</v>
      </c>
    </row>
    <row r="767" spans="1:1" x14ac:dyDescent="0.25">
      <c r="A767" s="1" t="s">
        <v>640</v>
      </c>
    </row>
    <row r="768" spans="1:1" x14ac:dyDescent="0.25">
      <c r="A768" s="1" t="s">
        <v>641</v>
      </c>
    </row>
    <row r="769" spans="1:1" x14ac:dyDescent="0.25">
      <c r="A769" s="1" t="s">
        <v>642</v>
      </c>
    </row>
    <row r="770" spans="1:1" x14ac:dyDescent="0.25">
      <c r="A770" s="1" t="s">
        <v>643</v>
      </c>
    </row>
    <row r="771" spans="1:1" x14ac:dyDescent="0.25">
      <c r="A771" s="1" t="s">
        <v>644</v>
      </c>
    </row>
    <row r="772" spans="1:1" x14ac:dyDescent="0.25">
      <c r="A772" s="1" t="s">
        <v>645</v>
      </c>
    </row>
    <row r="773" spans="1:1" x14ac:dyDescent="0.25">
      <c r="A773" s="1" t="s">
        <v>646</v>
      </c>
    </row>
    <row r="774" spans="1:1" x14ac:dyDescent="0.25">
      <c r="A774" s="1" t="s">
        <v>647</v>
      </c>
    </row>
    <row r="775" spans="1:1" x14ac:dyDescent="0.25">
      <c r="A775" s="1" t="s">
        <v>648</v>
      </c>
    </row>
    <row r="776" spans="1:1" x14ac:dyDescent="0.25">
      <c r="A776" s="1" t="s">
        <v>649</v>
      </c>
    </row>
    <row r="777" spans="1:1" x14ac:dyDescent="0.25">
      <c r="A777" s="1" t="s">
        <v>650</v>
      </c>
    </row>
    <row r="778" spans="1:1" x14ac:dyDescent="0.25">
      <c r="A778" s="1" t="s">
        <v>651</v>
      </c>
    </row>
    <row r="779" spans="1:1" x14ac:dyDescent="0.25">
      <c r="A779" s="1" t="s">
        <v>652</v>
      </c>
    </row>
    <row r="780" spans="1:1" x14ac:dyDescent="0.25">
      <c r="A780" s="1" t="s">
        <v>653</v>
      </c>
    </row>
    <row r="781" spans="1:1" x14ac:dyDescent="0.25">
      <c r="A781" s="1" t="s">
        <v>654</v>
      </c>
    </row>
    <row r="782" spans="1:1" x14ac:dyDescent="0.25">
      <c r="A782" s="1" t="s">
        <v>655</v>
      </c>
    </row>
    <row r="783" spans="1:1" x14ac:dyDescent="0.25">
      <c r="A783" s="1" t="s">
        <v>656</v>
      </c>
    </row>
    <row r="784" spans="1:1" x14ac:dyDescent="0.25">
      <c r="A784" s="1" t="s">
        <v>657</v>
      </c>
    </row>
    <row r="785" spans="1:1" x14ac:dyDescent="0.25">
      <c r="A785" s="1" t="s">
        <v>658</v>
      </c>
    </row>
    <row r="786" spans="1:1" x14ac:dyDescent="0.25">
      <c r="A786" s="1" t="s">
        <v>659</v>
      </c>
    </row>
    <row r="787" spans="1:1" x14ac:dyDescent="0.25">
      <c r="A787" s="1" t="s">
        <v>660</v>
      </c>
    </row>
    <row r="788" spans="1:1" x14ac:dyDescent="0.25">
      <c r="A788" s="1" t="s">
        <v>1</v>
      </c>
    </row>
    <row r="789" spans="1:1" x14ac:dyDescent="0.25">
      <c r="A789" s="1" t="s">
        <v>1</v>
      </c>
    </row>
    <row r="790" spans="1:1" x14ac:dyDescent="0.25">
      <c r="A790" s="1" t="s">
        <v>1</v>
      </c>
    </row>
  </sheetData>
  <hyperlinks>
    <hyperlink ref="BK2" r:id="rId1"/>
  </hyperlinks>
  <pageMargins left="0.7" right="0.7" top="0.75" bottom="0.75" header="0.3" footer="0.3"/>
  <pageSetup orientation="portrait" r:id="rId2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BN1160"/>
  <sheetViews>
    <sheetView topLeftCell="AK1" zoomScale="55" zoomScaleNormal="55" workbookViewId="0">
      <selection activeCell="AY29" sqref="AY29"/>
    </sheetView>
  </sheetViews>
  <sheetFormatPr defaultRowHeight="15" x14ac:dyDescent="0.25"/>
  <cols>
    <col min="29" max="29" width="10.5703125" style="5" customWidth="1"/>
    <col min="30" max="31" width="9.140625" style="3"/>
    <col min="32" max="32" width="17.85546875" bestFit="1" customWidth="1"/>
    <col min="33" max="33" width="19" bestFit="1" customWidth="1"/>
    <col min="34" max="34" width="15.7109375" bestFit="1" customWidth="1"/>
    <col min="35" max="35" width="19.140625" customWidth="1"/>
    <col min="36" max="36" width="16" bestFit="1" customWidth="1"/>
    <col min="37" max="37" width="55.7109375" bestFit="1" customWidth="1"/>
    <col min="38" max="38" width="16" customWidth="1"/>
    <col min="40" max="40" width="33.28515625" customWidth="1"/>
    <col min="41" max="41" width="13" customWidth="1"/>
    <col min="45" max="46" width="10.42578125" customWidth="1"/>
    <col min="61" max="61" width="20.5703125" customWidth="1"/>
  </cols>
  <sheetData>
    <row r="1" spans="1:66" x14ac:dyDescent="0.25">
      <c r="A1" s="1" t="s">
        <v>838</v>
      </c>
      <c r="AC1" s="4"/>
      <c r="AD1" s="2"/>
      <c r="AE1" s="2"/>
      <c r="BG1" t="s">
        <v>731</v>
      </c>
      <c r="BH1" s="29">
        <v>0.95</v>
      </c>
      <c r="BI1" s="7" t="s">
        <v>732</v>
      </c>
    </row>
    <row r="2" spans="1:66" x14ac:dyDescent="0.25">
      <c r="A2" s="1" t="s">
        <v>1</v>
      </c>
      <c r="H2" t="s">
        <v>689</v>
      </c>
      <c r="K2" t="s">
        <v>691</v>
      </c>
      <c r="Q2" t="s">
        <v>1808</v>
      </c>
      <c r="BH2" s="30">
        <v>0.85</v>
      </c>
      <c r="BI2" s="12" t="s">
        <v>733</v>
      </c>
      <c r="BJ2" t="s">
        <v>735</v>
      </c>
      <c r="BK2" s="32" t="s">
        <v>736</v>
      </c>
    </row>
    <row r="3" spans="1:66" ht="60" x14ac:dyDescent="0.25">
      <c r="A3" s="1" t="s">
        <v>1</v>
      </c>
      <c r="H3" s="6" t="s">
        <v>690</v>
      </c>
      <c r="BH3" s="30">
        <v>0.99</v>
      </c>
      <c r="BI3" s="12" t="s">
        <v>734</v>
      </c>
      <c r="BL3" t="s">
        <v>737</v>
      </c>
    </row>
    <row r="4" spans="1:66" x14ac:dyDescent="0.25">
      <c r="A4" s="1" t="s">
        <v>2</v>
      </c>
      <c r="BH4" s="30"/>
      <c r="BI4" s="12"/>
    </row>
    <row r="5" spans="1:66" x14ac:dyDescent="0.25">
      <c r="A5" s="1" t="s">
        <v>1</v>
      </c>
      <c r="BH5" s="30"/>
      <c r="BI5" s="12"/>
    </row>
    <row r="6" spans="1:66" x14ac:dyDescent="0.25">
      <c r="A6" s="1" t="s">
        <v>3</v>
      </c>
      <c r="BH6" s="30"/>
      <c r="BI6" s="12"/>
    </row>
    <row r="7" spans="1:66" x14ac:dyDescent="0.25">
      <c r="A7" s="1" t="s">
        <v>4</v>
      </c>
      <c r="BH7" s="30"/>
      <c r="BI7" s="12"/>
    </row>
    <row r="8" spans="1:66" x14ac:dyDescent="0.25">
      <c r="A8" s="1" t="s">
        <v>5</v>
      </c>
      <c r="BH8" s="30"/>
      <c r="BI8" s="12"/>
    </row>
    <row r="9" spans="1:66" ht="15.75" thickBot="1" x14ac:dyDescent="0.3">
      <c r="A9" s="1" t="s">
        <v>6</v>
      </c>
      <c r="BH9" s="31"/>
      <c r="BI9" s="15"/>
    </row>
    <row r="10" spans="1:66" x14ac:dyDescent="0.25">
      <c r="A10" s="1" t="s">
        <v>7</v>
      </c>
      <c r="BH10">
        <f>BH3*BH1*BH2</f>
        <v>0.79942499999999994</v>
      </c>
      <c r="BI10" t="s">
        <v>1809</v>
      </c>
    </row>
    <row r="11" spans="1:66" x14ac:dyDescent="0.25">
      <c r="A11" s="1" t="s">
        <v>8</v>
      </c>
      <c r="BL11" t="s">
        <v>775</v>
      </c>
    </row>
    <row r="12" spans="1:66" x14ac:dyDescent="0.25">
      <c r="A12" s="1" t="s">
        <v>1</v>
      </c>
      <c r="BL12">
        <f>(1/60)*(1/12)*(9)*(AJ38)</f>
        <v>124.99999999999999</v>
      </c>
      <c r="BM12" t="s">
        <v>721</v>
      </c>
      <c r="BN12">
        <f>BL12*3600/5280</f>
        <v>85.22727272727272</v>
      </c>
    </row>
    <row r="13" spans="1:66" x14ac:dyDescent="0.25">
      <c r="A13" s="1" t="s">
        <v>1</v>
      </c>
      <c r="AC13" s="5" t="s">
        <v>688</v>
      </c>
    </row>
    <row r="14" spans="1:66" x14ac:dyDescent="0.25">
      <c r="A14" s="1" t="s">
        <v>839</v>
      </c>
      <c r="J14" s="43" t="s">
        <v>1782</v>
      </c>
      <c r="S14">
        <v>1000</v>
      </c>
      <c r="AC14" s="5" t="str">
        <f>CONCATENATE($V$16,$AC$13,S14)</f>
        <v>Ct@1000</v>
      </c>
      <c r="AD14" s="3" t="str">
        <f>CONCATENATE($W$16,$AC$13,S14)</f>
        <v>Cp@1000</v>
      </c>
      <c r="AE14" s="3" t="str">
        <f>CONCATENATE($AF$16,$AC$13,S14)</f>
        <v>Kq@1000</v>
      </c>
    </row>
    <row r="15" spans="1:66" x14ac:dyDescent="0.25">
      <c r="A15" s="1" t="s">
        <v>1</v>
      </c>
    </row>
    <row r="16" spans="1:66" x14ac:dyDescent="0.25">
      <c r="A16" s="1" t="s">
        <v>9</v>
      </c>
      <c r="J16" t="str">
        <f>A16</f>
        <v xml:space="preserve">         V          J           Pe         Ct          Cp          PWR         Torque      Thrust             </v>
      </c>
      <c r="S16" t="s">
        <v>662</v>
      </c>
      <c r="T16" t="s">
        <v>663</v>
      </c>
      <c r="U16" t="s">
        <v>664</v>
      </c>
      <c r="V16" t="s">
        <v>665</v>
      </c>
      <c r="W16" t="s">
        <v>666</v>
      </c>
      <c r="X16" t="s">
        <v>667</v>
      </c>
      <c r="Y16" t="s">
        <v>668</v>
      </c>
      <c r="Z16" t="s">
        <v>669</v>
      </c>
      <c r="AF16" t="s">
        <v>702</v>
      </c>
      <c r="AG16" t="s">
        <v>698</v>
      </c>
      <c r="AH16" t="s">
        <v>700</v>
      </c>
    </row>
    <row r="17" spans="1:56" x14ac:dyDescent="0.25">
      <c r="A17" s="1" t="s">
        <v>10</v>
      </c>
      <c r="J17" t="str">
        <f t="shared" ref="J17:J47" si="0">A17</f>
        <v xml:space="preserve">       (mph)     (Adv Ratio)                                       (Hp)        (In-Lbf)     (Lbf)             </v>
      </c>
      <c r="S17" t="s">
        <v>670</v>
      </c>
      <c r="T17" t="s">
        <v>1780</v>
      </c>
      <c r="U17" t="s">
        <v>1781</v>
      </c>
      <c r="X17" t="s">
        <v>672</v>
      </c>
      <c r="Y17" t="s">
        <v>673</v>
      </c>
      <c r="Z17" t="s">
        <v>674</v>
      </c>
      <c r="AF17" t="s">
        <v>703</v>
      </c>
      <c r="AG17" t="s">
        <v>699</v>
      </c>
      <c r="AH17" t="s">
        <v>699</v>
      </c>
    </row>
    <row r="18" spans="1:56" x14ac:dyDescent="0.25">
      <c r="A18" s="1" t="s">
        <v>840</v>
      </c>
      <c r="J18" t="str">
        <f t="shared" si="0"/>
        <v xml:space="preserve">         0.0        0.00      0.0000      0.1319      0.0659       0.000       0.006       0.010              </v>
      </c>
      <c r="S18">
        <v>0</v>
      </c>
      <c r="T18">
        <v>0</v>
      </c>
      <c r="U18">
        <v>0</v>
      </c>
      <c r="V18">
        <v>0.13189999999999999</v>
      </c>
      <c r="W18">
        <v>6.59E-2</v>
      </c>
      <c r="X18">
        <v>0</v>
      </c>
      <c r="Y18">
        <v>6.0000000000000001E-3</v>
      </c>
      <c r="Z18">
        <v>0.01</v>
      </c>
      <c r="AF18">
        <f t="shared" ref="AF18:AF46" si="1">(Y18*(1/12))/(AG18*(($S$14*(1/60))^2)*($AJ$36*(1/12))^5)</f>
        <v>1.1305714285714285E-2</v>
      </c>
      <c r="AG18">
        <f t="shared" ref="AG18:AG46" si="2">Z18/(V18*(($S$14*(1/60))^2)*(($AJ$36*(1/12))^4))</f>
        <v>2.3571679604056828E-3</v>
      </c>
      <c r="AH18">
        <f>AVERAGE(AG18:AG46)</f>
        <v>2.4092096474615078E-3</v>
      </c>
    </row>
    <row r="19" spans="1:56" x14ac:dyDescent="0.25">
      <c r="A19" s="1" t="s">
        <v>841</v>
      </c>
      <c r="J19" t="str">
        <f t="shared" si="0"/>
        <v xml:space="preserve">         0.2        0.03      0.0645      0.1315      0.0670       0.000       0.006       0.010              </v>
      </c>
      <c r="S19">
        <v>0.2</v>
      </c>
      <c r="T19">
        <v>0.03</v>
      </c>
      <c r="U19">
        <v>6.4500000000000002E-2</v>
      </c>
      <c r="V19">
        <v>0.13150000000000001</v>
      </c>
      <c r="W19">
        <v>6.7000000000000004E-2</v>
      </c>
      <c r="X19">
        <v>0</v>
      </c>
      <c r="Y19">
        <v>6.0000000000000001E-3</v>
      </c>
      <c r="Z19">
        <v>0.01</v>
      </c>
      <c r="AF19">
        <f t="shared" si="1"/>
        <v>1.1271428571428576E-2</v>
      </c>
      <c r="AG19">
        <f t="shared" si="2"/>
        <v>2.3643380530609086E-3</v>
      </c>
    </row>
    <row r="20" spans="1:56" x14ac:dyDescent="0.25">
      <c r="A20" s="1" t="s">
        <v>842</v>
      </c>
      <c r="J20" t="str">
        <f t="shared" si="0"/>
        <v xml:space="preserve">         0.4        0.07      0.1264      0.1310      0.0682       0.000       0.006       0.010              </v>
      </c>
      <c r="S20">
        <v>0.4</v>
      </c>
      <c r="T20">
        <v>7.0000000000000007E-2</v>
      </c>
      <c r="U20">
        <v>0.12640000000000001</v>
      </c>
      <c r="V20">
        <v>0.13100000000000001</v>
      </c>
      <c r="W20">
        <v>6.8199999999999997E-2</v>
      </c>
      <c r="X20">
        <v>0</v>
      </c>
      <c r="Y20">
        <v>6.0000000000000001E-3</v>
      </c>
      <c r="Z20">
        <v>0.01</v>
      </c>
      <c r="AF20">
        <f t="shared" si="1"/>
        <v>1.1228571428571432E-2</v>
      </c>
      <c r="AG20">
        <f t="shared" si="2"/>
        <v>2.3733622441031261E-3</v>
      </c>
    </row>
    <row r="21" spans="1:56" x14ac:dyDescent="0.25">
      <c r="A21" s="1" t="s">
        <v>843</v>
      </c>
      <c r="J21" t="str">
        <f t="shared" si="0"/>
        <v xml:space="preserve">         0.7        0.10      0.1855      0.1303      0.0693       0.000       0.006       0.010              </v>
      </c>
      <c r="S21">
        <v>0.7</v>
      </c>
      <c r="T21">
        <v>0.1</v>
      </c>
      <c r="U21">
        <v>0.1855</v>
      </c>
      <c r="V21">
        <v>0.1303</v>
      </c>
      <c r="W21">
        <v>6.93E-2</v>
      </c>
      <c r="X21">
        <v>0</v>
      </c>
      <c r="Y21">
        <v>6.0000000000000001E-3</v>
      </c>
      <c r="Z21">
        <v>0.01</v>
      </c>
      <c r="AF21">
        <f t="shared" si="1"/>
        <v>1.1168571428571429E-2</v>
      </c>
      <c r="AG21">
        <f t="shared" si="2"/>
        <v>2.3861124633730588E-3</v>
      </c>
    </row>
    <row r="22" spans="1:56" ht="15.75" thickBot="1" x14ac:dyDescent="0.3">
      <c r="A22" s="1" t="s">
        <v>844</v>
      </c>
      <c r="J22" t="str">
        <f t="shared" si="0"/>
        <v xml:space="preserve">         0.9        0.13      0.2419      0.1296      0.0705       0.000       0.006       0.010              </v>
      </c>
      <c r="S22">
        <v>0.9</v>
      </c>
      <c r="T22">
        <v>0.13</v>
      </c>
      <c r="U22">
        <v>0.2419</v>
      </c>
      <c r="V22">
        <v>0.12959999999999999</v>
      </c>
      <c r="W22">
        <v>7.0499999999999993E-2</v>
      </c>
      <c r="X22">
        <v>0</v>
      </c>
      <c r="Y22">
        <v>6.0000000000000001E-3</v>
      </c>
      <c r="Z22">
        <v>0.01</v>
      </c>
      <c r="AF22">
        <f t="shared" si="1"/>
        <v>1.1108571428571429E-2</v>
      </c>
      <c r="AG22">
        <f t="shared" si="2"/>
        <v>2.3990004164931291E-3</v>
      </c>
    </row>
    <row r="23" spans="1:56" ht="15.75" thickBot="1" x14ac:dyDescent="0.3">
      <c r="A23" s="1" t="s">
        <v>845</v>
      </c>
      <c r="J23" t="str">
        <f t="shared" si="0"/>
        <v xml:space="preserve">         1.1        0.16      0.2956      0.1286      0.0715       0.000       0.006       0.010              </v>
      </c>
      <c r="S23">
        <v>1.1000000000000001</v>
      </c>
      <c r="T23">
        <v>0.16</v>
      </c>
      <c r="U23">
        <v>0.29559999999999997</v>
      </c>
      <c r="V23">
        <v>0.12859999999999999</v>
      </c>
      <c r="W23">
        <v>7.1499999999999994E-2</v>
      </c>
      <c r="X23">
        <v>0</v>
      </c>
      <c r="Y23">
        <v>6.0000000000000001E-3</v>
      </c>
      <c r="Z23">
        <v>0.01</v>
      </c>
      <c r="AF23">
        <f t="shared" si="1"/>
        <v>1.1022857142857143E-2</v>
      </c>
      <c r="AG23">
        <f t="shared" si="2"/>
        <v>2.417655163122158E-3</v>
      </c>
      <c r="AO23" s="21" t="s">
        <v>705</v>
      </c>
      <c r="AP23" s="9" t="s">
        <v>706</v>
      </c>
      <c r="AQ23" s="9" t="s">
        <v>707</v>
      </c>
      <c r="AR23" s="9" t="s">
        <v>708</v>
      </c>
      <c r="AS23" s="9" t="s">
        <v>709</v>
      </c>
      <c r="AT23" s="9"/>
      <c r="AU23" s="9"/>
      <c r="AV23" s="9"/>
      <c r="AW23" s="9"/>
      <c r="AX23" s="10"/>
      <c r="AZ23" s="20" t="s">
        <v>705</v>
      </c>
      <c r="BA23" s="7" t="s">
        <v>706</v>
      </c>
      <c r="BB23" s="7" t="s">
        <v>707</v>
      </c>
      <c r="BC23" s="7" t="s">
        <v>708</v>
      </c>
      <c r="BD23" s="7" t="s">
        <v>709</v>
      </c>
    </row>
    <row r="24" spans="1:56" ht="17.25" x14ac:dyDescent="0.25">
      <c r="A24" s="1" t="s">
        <v>846</v>
      </c>
      <c r="J24" t="str">
        <f t="shared" si="0"/>
        <v xml:space="preserve">         1.3        0.20      0.3464      0.1273      0.0725       0.000       0.006       0.010              </v>
      </c>
      <c r="S24">
        <v>1.3</v>
      </c>
      <c r="T24">
        <v>0.2</v>
      </c>
      <c r="U24">
        <v>0.34639999999999999</v>
      </c>
      <c r="V24">
        <v>0.1273</v>
      </c>
      <c r="W24">
        <v>7.2499999999999995E-2</v>
      </c>
      <c r="X24">
        <v>0</v>
      </c>
      <c r="Y24">
        <v>6.0000000000000001E-3</v>
      </c>
      <c r="Z24">
        <v>0.01</v>
      </c>
      <c r="AF24">
        <f t="shared" si="1"/>
        <v>1.0911428571428574E-2</v>
      </c>
      <c r="AG24">
        <f t="shared" si="2"/>
        <v>2.4423444931461866E-3</v>
      </c>
      <c r="AJ24" s="22" t="s">
        <v>693</v>
      </c>
      <c r="AK24" t="s">
        <v>1798</v>
      </c>
      <c r="AO24" s="11" t="str">
        <f>MID($AK24,FIND(AT24,$AK24)-5,5)</f>
        <v>0.137</v>
      </c>
      <c r="AP24" s="7" t="str">
        <f t="shared" ref="AP24:AR26" si="3">MID($AK24,FIND(AU24,$AK24)-5,5)</f>
        <v>.1817</v>
      </c>
      <c r="AQ24" s="7" t="str">
        <f t="shared" si="3"/>
        <v>.1056</v>
      </c>
      <c r="AR24" s="7" t="str">
        <f t="shared" si="3"/>
        <v>.0091</v>
      </c>
      <c r="AS24" s="7" t="str">
        <f>RIGHT(AK24,6)</f>
        <v>0.1316</v>
      </c>
      <c r="AT24" s="7" t="s">
        <v>710</v>
      </c>
      <c r="AU24" s="7" t="s">
        <v>711</v>
      </c>
      <c r="AV24" s="7" t="s">
        <v>712</v>
      </c>
      <c r="AW24" s="7" t="s">
        <v>728</v>
      </c>
      <c r="AX24" s="12"/>
      <c r="AZ24" s="7" t="str">
        <f>MID(AO24,FIND(".",AO24),10)</f>
        <v>.137</v>
      </c>
      <c r="BA24" s="7" t="str">
        <f t="shared" ref="BA24:BC26" si="4">MID(AP24,FIND(".",AP24),10)</f>
        <v>.1817</v>
      </c>
      <c r="BB24" s="7" t="str">
        <f t="shared" si="4"/>
        <v>.1056</v>
      </c>
      <c r="BC24" s="7" t="str">
        <f t="shared" si="4"/>
        <v>.0091</v>
      </c>
      <c r="BD24" s="7" t="str">
        <f>AS24</f>
        <v>0.1316</v>
      </c>
    </row>
    <row r="25" spans="1:56" ht="17.25" x14ac:dyDescent="0.25">
      <c r="A25" s="1" t="s">
        <v>847</v>
      </c>
      <c r="J25" t="str">
        <f t="shared" si="0"/>
        <v xml:space="preserve">         1.5        0.23      0.3946      0.1256      0.0733       0.000       0.006       0.010              </v>
      </c>
      <c r="S25">
        <v>1.5</v>
      </c>
      <c r="T25">
        <v>0.23</v>
      </c>
      <c r="U25">
        <v>0.39460000000000001</v>
      </c>
      <c r="V25">
        <v>0.12559999999999999</v>
      </c>
      <c r="W25">
        <v>7.3300000000000004E-2</v>
      </c>
      <c r="X25">
        <v>0</v>
      </c>
      <c r="Y25">
        <v>6.0000000000000001E-3</v>
      </c>
      <c r="Z25">
        <v>0.01</v>
      </c>
      <c r="AF25">
        <f t="shared" si="1"/>
        <v>1.0765714285714286E-2</v>
      </c>
      <c r="AG25">
        <f t="shared" si="2"/>
        <v>2.475401703642592E-3</v>
      </c>
      <c r="AJ25" s="23" t="s">
        <v>694</v>
      </c>
      <c r="AK25" t="s">
        <v>1799</v>
      </c>
      <c r="AO25" s="11" t="str">
        <f>MID($AK25,FIND(AT25,$AK25)-5,5)</f>
        <v>.0724</v>
      </c>
      <c r="AP25" s="7" t="str">
        <f t="shared" si="3"/>
        <v>.2073</v>
      </c>
      <c r="AQ25" s="7" t="str">
        <f t="shared" si="3"/>
        <v>.0267</v>
      </c>
      <c r="AR25" s="7" t="str">
        <f t="shared" si="3"/>
        <v>.0368</v>
      </c>
      <c r="AS25" s="7" t="str">
        <f>RIGHT(AK25,6)</f>
        <v>0.0658</v>
      </c>
      <c r="AT25" s="7" t="s">
        <v>710</v>
      </c>
      <c r="AU25" s="7" t="s">
        <v>711</v>
      </c>
      <c r="AV25" s="7" t="s">
        <v>712</v>
      </c>
      <c r="AW25" s="7" t="s">
        <v>728</v>
      </c>
      <c r="AX25" s="12"/>
      <c r="AZ25" s="7" t="str">
        <f>MID(AO25,FIND(".",AO25),10)</f>
        <v>.0724</v>
      </c>
      <c r="BA25" s="7" t="str">
        <f t="shared" si="4"/>
        <v>.2073</v>
      </c>
      <c r="BB25" s="7" t="str">
        <f t="shared" si="4"/>
        <v>.0267</v>
      </c>
      <c r="BC25" s="7" t="str">
        <f t="shared" si="4"/>
        <v>.0368</v>
      </c>
      <c r="BD25" s="7" t="str">
        <f>AS25</f>
        <v>0.0658</v>
      </c>
    </row>
    <row r="26" spans="1:56" ht="18" thickBot="1" x14ac:dyDescent="0.3">
      <c r="A26" s="1" t="s">
        <v>848</v>
      </c>
      <c r="J26" t="str">
        <f t="shared" si="0"/>
        <v xml:space="preserve">         1.7        0.26      0.4400      0.1236      0.0739       0.000       0.006       0.009              </v>
      </c>
      <c r="S26">
        <v>1.7</v>
      </c>
      <c r="T26">
        <v>0.26</v>
      </c>
      <c r="U26">
        <v>0.44</v>
      </c>
      <c r="V26">
        <v>0.1236</v>
      </c>
      <c r="W26">
        <v>7.3899999999999993E-2</v>
      </c>
      <c r="X26">
        <v>0</v>
      </c>
      <c r="Y26">
        <v>6.0000000000000001E-3</v>
      </c>
      <c r="Z26">
        <v>8.9999999999999993E-3</v>
      </c>
      <c r="AF26">
        <f t="shared" si="1"/>
        <v>1.1771428571428577E-2</v>
      </c>
      <c r="AG26">
        <f t="shared" si="2"/>
        <v>2.2639110726517678E-3</v>
      </c>
      <c r="AJ26" s="24" t="s">
        <v>697</v>
      </c>
      <c r="AK26" t="s">
        <v>1800</v>
      </c>
      <c r="AO26" s="13" t="str">
        <f>MID($AK26,FIND(AT26,$AK26)-5,5)</f>
        <v>.0128</v>
      </c>
      <c r="AP26" s="14" t="str">
        <f t="shared" si="3"/>
        <v>.0351</v>
      </c>
      <c r="AQ26" s="14" t="str">
        <f t="shared" si="3"/>
        <v>.0046</v>
      </c>
      <c r="AR26" s="14" t="str">
        <f t="shared" si="3"/>
        <v>.0063</v>
      </c>
      <c r="AS26" s="14" t="str">
        <f>RIGHT(AK26,6)</f>
        <v>0.0104</v>
      </c>
      <c r="AT26" s="14" t="s">
        <v>710</v>
      </c>
      <c r="AU26" s="14" t="s">
        <v>711</v>
      </c>
      <c r="AV26" s="14" t="s">
        <v>712</v>
      </c>
      <c r="AW26" s="14" t="s">
        <v>728</v>
      </c>
      <c r="AX26" s="15"/>
      <c r="AZ26" s="7" t="str">
        <f>MID(AO26,FIND(".",AO26),10)</f>
        <v>.0128</v>
      </c>
      <c r="BA26" s="7" t="str">
        <f t="shared" si="4"/>
        <v>.0351</v>
      </c>
      <c r="BB26" s="7" t="str">
        <f t="shared" si="4"/>
        <v>.0046</v>
      </c>
      <c r="BC26" s="7" t="str">
        <f t="shared" si="4"/>
        <v>.0063</v>
      </c>
      <c r="BD26" s="7" t="str">
        <f>AS26</f>
        <v>0.0104</v>
      </c>
    </row>
    <row r="27" spans="1:56" x14ac:dyDescent="0.25">
      <c r="A27" s="1" t="s">
        <v>849</v>
      </c>
      <c r="J27" t="str">
        <f t="shared" si="0"/>
        <v xml:space="preserve">         2.0        0.30      0.4826      0.1211      0.0743       0.000       0.006       0.009              </v>
      </c>
      <c r="S27">
        <v>2</v>
      </c>
      <c r="T27">
        <v>0.3</v>
      </c>
      <c r="U27">
        <v>0.48259999999999997</v>
      </c>
      <c r="V27">
        <v>0.1211</v>
      </c>
      <c r="W27">
        <v>7.4300000000000005E-2</v>
      </c>
      <c r="X27">
        <v>0</v>
      </c>
      <c r="Y27">
        <v>6.0000000000000001E-3</v>
      </c>
      <c r="Z27">
        <v>8.9999999999999993E-3</v>
      </c>
      <c r="AF27">
        <f t="shared" si="1"/>
        <v>1.1533333333333336E-2</v>
      </c>
      <c r="AG27">
        <f t="shared" si="2"/>
        <v>2.3106474696924736E-3</v>
      </c>
    </row>
    <row r="28" spans="1:56" x14ac:dyDescent="0.25">
      <c r="A28" s="1" t="s">
        <v>850</v>
      </c>
      <c r="J28" t="str">
        <f t="shared" si="0"/>
        <v xml:space="preserve">         2.2        0.33      0.5224      0.1181      0.0743       0.000       0.006       0.009              </v>
      </c>
      <c r="S28">
        <v>2.2000000000000002</v>
      </c>
      <c r="T28">
        <v>0.33</v>
      </c>
      <c r="U28">
        <v>0.52239999999999998</v>
      </c>
      <c r="V28">
        <v>0.1181</v>
      </c>
      <c r="W28">
        <v>7.4300000000000005E-2</v>
      </c>
      <c r="X28">
        <v>0</v>
      </c>
      <c r="Y28">
        <v>6.0000000000000001E-3</v>
      </c>
      <c r="Z28">
        <v>8.9999999999999993E-3</v>
      </c>
      <c r="AF28">
        <f t="shared" si="1"/>
        <v>1.1247619047619051E-2</v>
      </c>
      <c r="AG28">
        <f t="shared" si="2"/>
        <v>2.3693430023688277E-3</v>
      </c>
      <c r="AU28" t="s">
        <v>1805</v>
      </c>
      <c r="AV28" s="39">
        <v>2159</v>
      </c>
    </row>
    <row r="29" spans="1:56" x14ac:dyDescent="0.25">
      <c r="A29" s="1" t="s">
        <v>851</v>
      </c>
      <c r="J29" t="str">
        <f t="shared" si="0"/>
        <v xml:space="preserve">         2.4        0.36      0.5593      0.1146      0.0741       0.000       0.006       0.009              </v>
      </c>
      <c r="S29">
        <v>2.4</v>
      </c>
      <c r="T29">
        <v>0.36</v>
      </c>
      <c r="U29">
        <v>0.55930000000000002</v>
      </c>
      <c r="V29">
        <v>0.11459999999999999</v>
      </c>
      <c r="W29">
        <v>7.4099999999999999E-2</v>
      </c>
      <c r="X29">
        <v>0</v>
      </c>
      <c r="Y29">
        <v>6.0000000000000001E-3</v>
      </c>
      <c r="Z29">
        <v>8.9999999999999993E-3</v>
      </c>
      <c r="AF29">
        <f t="shared" si="1"/>
        <v>1.0914285714285717E-2</v>
      </c>
      <c r="AG29">
        <f t="shared" si="2"/>
        <v>2.4417051359490278E-3</v>
      </c>
      <c r="AL29" s="42"/>
      <c r="AM29" s="42"/>
      <c r="AN29" s="42"/>
      <c r="AO29" s="42"/>
      <c r="AP29" s="42"/>
      <c r="AQ29" s="42"/>
      <c r="AR29" s="42"/>
      <c r="AS29" s="42"/>
      <c r="AT29" s="42"/>
      <c r="AU29" s="42" t="s">
        <v>1806</v>
      </c>
      <c r="AV29" s="42">
        <v>900</v>
      </c>
      <c r="AW29" s="42" t="s">
        <v>1807</v>
      </c>
      <c r="AX29" s="42"/>
    </row>
    <row r="30" spans="1:56" x14ac:dyDescent="0.25">
      <c r="A30" s="1" t="s">
        <v>852</v>
      </c>
      <c r="J30" t="str">
        <f t="shared" si="0"/>
        <v xml:space="preserve">         2.6        0.39      0.5934      0.1106      0.0735       0.000       0.006       0.008              </v>
      </c>
      <c r="S30">
        <v>2.6</v>
      </c>
      <c r="T30">
        <v>0.39</v>
      </c>
      <c r="U30">
        <v>0.59340000000000004</v>
      </c>
      <c r="V30">
        <v>0.1106</v>
      </c>
      <c r="W30">
        <v>7.3499999999999996E-2</v>
      </c>
      <c r="X30">
        <v>0</v>
      </c>
      <c r="Y30">
        <v>6.0000000000000001E-3</v>
      </c>
      <c r="Z30">
        <v>8.0000000000000002E-3</v>
      </c>
      <c r="AF30">
        <f t="shared" si="1"/>
        <v>1.1850000000000003E-2</v>
      </c>
      <c r="AG30">
        <f t="shared" si="2"/>
        <v>2.2489002096022386E-3</v>
      </c>
      <c r="AL30" s="42"/>
      <c r="AM30" s="42"/>
      <c r="AN30" s="42"/>
      <c r="AO30" s="42"/>
      <c r="AP30" s="42"/>
      <c r="AQ30" s="42"/>
      <c r="AR30" s="42"/>
      <c r="AS30" s="42"/>
      <c r="AT30" s="42"/>
      <c r="AU30" s="42"/>
      <c r="AV30" s="42"/>
      <c r="AW30" s="42"/>
      <c r="AX30" s="42"/>
    </row>
    <row r="31" spans="1:56" x14ac:dyDescent="0.25">
      <c r="A31" s="1" t="s">
        <v>853</v>
      </c>
      <c r="J31" t="str">
        <f t="shared" si="0"/>
        <v xml:space="preserve">         2.8        0.43      0.6245      0.1061      0.0726       0.000       0.006       0.008              </v>
      </c>
      <c r="S31">
        <v>2.8</v>
      </c>
      <c r="T31">
        <v>0.43</v>
      </c>
      <c r="U31">
        <v>0.62450000000000006</v>
      </c>
      <c r="V31">
        <v>0.1061</v>
      </c>
      <c r="W31">
        <v>7.2599999999999998E-2</v>
      </c>
      <c r="X31">
        <v>0</v>
      </c>
      <c r="Y31">
        <v>6.0000000000000001E-3</v>
      </c>
      <c r="Z31">
        <v>8.0000000000000002E-3</v>
      </c>
      <c r="AF31">
        <f t="shared" si="1"/>
        <v>1.1367857142857147E-2</v>
      </c>
      <c r="AG31">
        <f t="shared" si="2"/>
        <v>2.3442824051084598E-3</v>
      </c>
      <c r="AO31" t="s">
        <v>729</v>
      </c>
      <c r="AR31">
        <v>1.355817948329</v>
      </c>
    </row>
    <row r="32" spans="1:56" ht="15.75" thickBot="1" x14ac:dyDescent="0.3">
      <c r="A32" s="1" t="s">
        <v>854</v>
      </c>
      <c r="J32" t="str">
        <f t="shared" si="0"/>
        <v xml:space="preserve">         3.1        0.46      0.6526      0.1011      0.0713       0.000       0.006       0.008              </v>
      </c>
      <c r="S32">
        <v>3.1</v>
      </c>
      <c r="T32">
        <v>0.46</v>
      </c>
      <c r="U32">
        <v>0.65259999999999996</v>
      </c>
      <c r="V32">
        <v>0.1011</v>
      </c>
      <c r="W32">
        <v>7.1300000000000002E-2</v>
      </c>
      <c r="X32">
        <v>0</v>
      </c>
      <c r="Y32">
        <v>6.0000000000000001E-3</v>
      </c>
      <c r="Z32">
        <v>8.0000000000000002E-3</v>
      </c>
      <c r="AF32">
        <f t="shared" si="1"/>
        <v>1.083214285714286E-2</v>
      </c>
      <c r="AG32">
        <f t="shared" si="2"/>
        <v>2.4602211986350904E-3</v>
      </c>
      <c r="AL32" t="s">
        <v>716</v>
      </c>
    </row>
    <row r="33" spans="1:58" ht="15.75" thickBot="1" x14ac:dyDescent="0.3">
      <c r="A33" s="1" t="s">
        <v>855</v>
      </c>
      <c r="J33" t="str">
        <f t="shared" si="0"/>
        <v xml:space="preserve">         3.3        0.49      0.6777      0.0955      0.0696       0.000       0.006       0.007              </v>
      </c>
      <c r="S33">
        <v>3.3</v>
      </c>
      <c r="T33">
        <v>0.49</v>
      </c>
      <c r="U33">
        <v>0.67769999999999997</v>
      </c>
      <c r="V33">
        <v>9.5500000000000002E-2</v>
      </c>
      <c r="W33">
        <v>6.9599999999999995E-2</v>
      </c>
      <c r="X33">
        <v>0</v>
      </c>
      <c r="Y33">
        <v>6.0000000000000001E-3</v>
      </c>
      <c r="Z33">
        <v>7.0000000000000001E-3</v>
      </c>
      <c r="AF33">
        <f t="shared" si="1"/>
        <v>1.169387755102041E-2</v>
      </c>
      <c r="AG33">
        <f t="shared" si="2"/>
        <v>2.2789247935524259E-3</v>
      </c>
      <c r="AO33" s="25" t="s">
        <v>717</v>
      </c>
      <c r="AP33" s="26" t="s">
        <v>719</v>
      </c>
      <c r="AQ33" s="26" t="s">
        <v>718</v>
      </c>
      <c r="AR33" s="26" t="s">
        <v>724</v>
      </c>
      <c r="AS33" s="48" t="s">
        <v>730</v>
      </c>
      <c r="AT33" s="27" t="s">
        <v>1810</v>
      </c>
      <c r="AY33" s="20" t="s">
        <v>1803</v>
      </c>
      <c r="AZ33" t="s">
        <v>1804</v>
      </c>
      <c r="BE33" t="s">
        <v>1819</v>
      </c>
      <c r="BF33" t="s">
        <v>1820</v>
      </c>
    </row>
    <row r="34" spans="1:58" ht="15.75" thickBot="1" x14ac:dyDescent="0.3">
      <c r="A34" s="1" t="s">
        <v>856</v>
      </c>
      <c r="J34" t="str">
        <f t="shared" si="0"/>
        <v xml:space="preserve">         3.5        0.53      0.6995      0.0896      0.0674       0.000       0.006       0.007              </v>
      </c>
      <c r="S34">
        <v>3.5</v>
      </c>
      <c r="T34">
        <v>0.53</v>
      </c>
      <c r="U34">
        <v>0.69950000000000001</v>
      </c>
      <c r="V34">
        <v>8.9599999999999999E-2</v>
      </c>
      <c r="W34">
        <v>6.7400000000000002E-2</v>
      </c>
      <c r="X34">
        <v>0</v>
      </c>
      <c r="Y34">
        <v>6.0000000000000001E-3</v>
      </c>
      <c r="Z34">
        <v>7.0000000000000001E-3</v>
      </c>
      <c r="AF34">
        <f t="shared" si="1"/>
        <v>1.0971428571428575E-2</v>
      </c>
      <c r="AG34">
        <f t="shared" si="2"/>
        <v>2.4289879216992934E-3</v>
      </c>
      <c r="AI34" t="s">
        <v>727</v>
      </c>
      <c r="AK34" t="s">
        <v>723</v>
      </c>
      <c r="AL34" s="8" t="s">
        <v>663</v>
      </c>
      <c r="AM34" s="10" t="s">
        <v>714</v>
      </c>
      <c r="AY34" t="s">
        <v>788</v>
      </c>
      <c r="AZ34" t="s">
        <v>1811</v>
      </c>
      <c r="BA34" t="s">
        <v>1818</v>
      </c>
      <c r="BE34">
        <f>AJ41/BA57</f>
        <v>1.9238681950616416</v>
      </c>
      <c r="BF34">
        <f>BE34*60</f>
        <v>115.4320917036985</v>
      </c>
    </row>
    <row r="35" spans="1:58" x14ac:dyDescent="0.25">
      <c r="A35" s="1" t="s">
        <v>857</v>
      </c>
      <c r="J35" t="str">
        <f t="shared" si="0"/>
        <v xml:space="preserve">         3.7        0.56      0.7183      0.0835      0.0650       0.000       0.006       0.006              </v>
      </c>
      <c r="S35">
        <v>3.7</v>
      </c>
      <c r="T35">
        <v>0.56000000000000005</v>
      </c>
      <c r="U35">
        <v>0.71830000000000005</v>
      </c>
      <c r="V35">
        <v>8.3500000000000005E-2</v>
      </c>
      <c r="W35">
        <v>6.5000000000000002E-2</v>
      </c>
      <c r="X35">
        <v>0</v>
      </c>
      <c r="Y35">
        <v>6.0000000000000001E-3</v>
      </c>
      <c r="Z35">
        <v>6.0000000000000001E-3</v>
      </c>
      <c r="AF35">
        <f t="shared" si="1"/>
        <v>1.1928571428571434E-2</v>
      </c>
      <c r="AG35">
        <f t="shared" si="2"/>
        <v>2.2340870944491699E-3</v>
      </c>
      <c r="AI35" s="8"/>
      <c r="AJ35" s="16"/>
      <c r="AL35" s="11">
        <f>AM35/(($AJ$38*(1/60)*$AJ$36*(1/12)))</f>
        <v>5.1428571428571442E-2</v>
      </c>
      <c r="AM35" s="12">
        <v>5</v>
      </c>
      <c r="AO35" s="7">
        <f>($AZ$24*AL35^4-$BA$24*AL35^3-$BB$24*AL35^2+$BC$24*AL35+$BD$24)*$AJ$37*((($AJ$38)*(1/60))^2)*($AJ$36*(1/12))^4</f>
        <v>1.0210315051348617</v>
      </c>
      <c r="AP35" s="7">
        <f>($AZ$25*AL35^4-$BA$25*AL35^3+$BB$25*AL35^2+$BC$25*AL35+$BD$25)*$AJ$37*((($AJ$38)*(1/60))^3)*($AJ$36*(1/12))^5</f>
        <v>51.029480503826733</v>
      </c>
      <c r="AQ35" s="7">
        <f>($AZ$26*AL35^4-$BA$26*AL35^3+$BB$26*AL35^2-$BC$26*AL35+$BD$26)*$AJ$37*((($AJ$38)*(1/60))^2)*($AJ$36*(1/12))^5</f>
        <v>4.5579187081305081E-2</v>
      </c>
      <c r="AR35" s="7">
        <f>AQ35*12</f>
        <v>0.54695024497566092</v>
      </c>
      <c r="AS35" s="7">
        <f t="shared" ref="AS35:AS73" si="5">AP35*$AR$31</f>
        <v>69.18668556099307</v>
      </c>
      <c r="AT35" s="7">
        <f>AS35/$BH$10</f>
        <v>86.545561573622379</v>
      </c>
      <c r="AY35" s="49">
        <f>($AJ$38+$AV$28)/$AV$29</f>
        <v>13.51</v>
      </c>
      <c r="AZ35">
        <f>AT35/AY35</f>
        <v>6.4060371261008422</v>
      </c>
      <c r="BA35">
        <f>AZ35*1000</f>
        <v>6406.0371261008422</v>
      </c>
    </row>
    <row r="36" spans="1:58" x14ac:dyDescent="0.25">
      <c r="A36" s="1" t="s">
        <v>858</v>
      </c>
      <c r="J36" t="str">
        <f t="shared" si="0"/>
        <v xml:space="preserve">         3.9        0.59      0.7341      0.0773      0.0624       0.000       0.005       0.006              </v>
      </c>
      <c r="S36">
        <v>3.9</v>
      </c>
      <c r="T36">
        <v>0.59</v>
      </c>
      <c r="U36">
        <v>0.73409999999999997</v>
      </c>
      <c r="V36">
        <v>7.7299999999999994E-2</v>
      </c>
      <c r="W36">
        <v>6.2399999999999997E-2</v>
      </c>
      <c r="X36">
        <v>0</v>
      </c>
      <c r="Y36">
        <v>5.0000000000000001E-3</v>
      </c>
      <c r="Z36">
        <v>6.0000000000000001E-3</v>
      </c>
      <c r="AF36">
        <f t="shared" si="1"/>
        <v>9.2023809523809532E-3</v>
      </c>
      <c r="AG36">
        <f t="shared" si="2"/>
        <v>2.4132764862419887E-3</v>
      </c>
      <c r="AI36" s="11" t="s">
        <v>725</v>
      </c>
      <c r="AJ36" s="18" t="str">
        <f>MID(A1,FIND("x",A1,1)-1,1)</f>
        <v>7</v>
      </c>
      <c r="AK36" t="s">
        <v>701</v>
      </c>
      <c r="AL36" s="11">
        <f t="shared" ref="AL36:AL73" si="6">AM36/(($AJ$38*(1/60)*$AJ$36*(1/12)))</f>
        <v>7.7142857142857166E-2</v>
      </c>
      <c r="AM36" s="12">
        <f t="shared" ref="AM36:AM73" si="7">AM35+$AJ$39</f>
        <v>7.5</v>
      </c>
      <c r="AO36" s="7">
        <f t="shared" ref="AO36:AO73" si="8">($AZ$24*AL36^4-$BA$24*AL36^3-$BB$24*AL36^2+$BC$24*AL36+$BD$24)*$AJ$37*((($AJ$38)*(1/60))^2)*($AJ$36*(1/12))^4</f>
        <v>1.0197147193491194</v>
      </c>
      <c r="AP36" s="7">
        <f t="shared" ref="AP36:AP73" si="9">($AZ$25*AL36^4-$BA$25*AL36^3+$BB$25*AL36^2+$BC$25*AL36+$BD$25)*$AJ$37*((($AJ$38)*(1/60))^3)*($AJ$36*(1/12))^5</f>
        <v>51.759977822415308</v>
      </c>
      <c r="AQ36" s="7">
        <f t="shared" ref="AQ36:AQ73" si="10">($AZ$26*AL36^4-$BA$26*AL36^3+$BB$26*AL36^2-$BC$26*AL36+$BD$26)*$AJ$37*((($AJ$38)*(1/60))^2)*($AJ$36*(1/12))^5</f>
        <v>4.4866049868422561E-2</v>
      </c>
      <c r="AR36" s="7">
        <f t="shared" ref="AR36:AR73" si="11">AQ36*12</f>
        <v>0.53839259842107068</v>
      </c>
      <c r="AS36" s="7">
        <f t="shared" si="5"/>
        <v>70.177106936741666</v>
      </c>
      <c r="AT36" s="7">
        <f t="shared" ref="AT36:AT73" si="12">AS36/$BH$10</f>
        <v>87.784478765039466</v>
      </c>
      <c r="AY36" s="49">
        <f t="shared" ref="AY36:AY73" si="13">($AJ$38+$AV$28)/$AV$29</f>
        <v>13.51</v>
      </c>
      <c r="AZ36">
        <f t="shared" ref="AZ36:AZ73" si="14">AT36/AY36</f>
        <v>6.4977408412316411</v>
      </c>
      <c r="BA36">
        <f t="shared" ref="BA36:BA73" si="15">AZ36*1000</f>
        <v>6497.7408412316408</v>
      </c>
    </row>
    <row r="37" spans="1:58" x14ac:dyDescent="0.25">
      <c r="A37" s="1" t="s">
        <v>859</v>
      </c>
      <c r="J37" t="str">
        <f t="shared" si="0"/>
        <v xml:space="preserve">         4.1        0.62      0.7473      0.0710      0.0594       0.000       0.005       0.005              </v>
      </c>
      <c r="S37">
        <v>4.0999999999999996</v>
      </c>
      <c r="T37">
        <v>0.62</v>
      </c>
      <c r="U37">
        <v>0.74729999999999996</v>
      </c>
      <c r="V37">
        <v>7.0999999999999994E-2</v>
      </c>
      <c r="W37">
        <v>5.9400000000000001E-2</v>
      </c>
      <c r="X37">
        <v>0</v>
      </c>
      <c r="Y37">
        <v>5.0000000000000001E-3</v>
      </c>
      <c r="Z37">
        <v>5.0000000000000001E-3</v>
      </c>
      <c r="AF37">
        <f t="shared" si="1"/>
        <v>1.0142857142857143E-2</v>
      </c>
      <c r="AG37">
        <f t="shared" si="2"/>
        <v>2.1895102392782361E-3</v>
      </c>
      <c r="AI37" s="11" t="s">
        <v>726</v>
      </c>
      <c r="AJ37" s="18">
        <f>AH18</f>
        <v>2.4092096474615078E-3</v>
      </c>
      <c r="AK37" s="19" t="s">
        <v>722</v>
      </c>
      <c r="AL37" s="11">
        <f t="shared" si="6"/>
        <v>0.10285714285714288</v>
      </c>
      <c r="AM37" s="12">
        <f t="shared" si="7"/>
        <v>10</v>
      </c>
      <c r="AO37" s="7">
        <f t="shared" si="8"/>
        <v>1.0169359398231219</v>
      </c>
      <c r="AP37" s="7">
        <f t="shared" si="9"/>
        <v>52.471902243377521</v>
      </c>
      <c r="AQ37" s="7">
        <f t="shared" si="10"/>
        <v>4.4134634959291957E-2</v>
      </c>
      <c r="AR37" s="7">
        <f t="shared" si="11"/>
        <v>0.52961561951150349</v>
      </c>
      <c r="AS37" s="7">
        <f t="shared" si="5"/>
        <v>71.142346844535965</v>
      </c>
      <c r="AT37" s="7">
        <f t="shared" si="12"/>
        <v>88.991896481265869</v>
      </c>
      <c r="AY37" s="49">
        <f t="shared" si="13"/>
        <v>13.51</v>
      </c>
      <c r="AZ37">
        <f t="shared" si="14"/>
        <v>6.5871129889908122</v>
      </c>
      <c r="BA37">
        <f t="shared" si="15"/>
        <v>6587.1129889908125</v>
      </c>
    </row>
    <row r="38" spans="1:58" x14ac:dyDescent="0.25">
      <c r="A38" s="1" t="s">
        <v>860</v>
      </c>
      <c r="J38" t="str">
        <f t="shared" si="0"/>
        <v xml:space="preserve">         4.4        0.66      0.7580      0.0645      0.0560       0.000       0.005       0.005              </v>
      </c>
      <c r="S38">
        <v>4.4000000000000004</v>
      </c>
      <c r="T38">
        <v>0.66</v>
      </c>
      <c r="U38">
        <v>0.75800000000000001</v>
      </c>
      <c r="V38">
        <v>6.4500000000000002E-2</v>
      </c>
      <c r="W38">
        <v>5.6000000000000001E-2</v>
      </c>
      <c r="X38">
        <v>0</v>
      </c>
      <c r="Y38">
        <v>5.0000000000000001E-3</v>
      </c>
      <c r="Z38">
        <v>5.0000000000000001E-3</v>
      </c>
      <c r="AF38">
        <f t="shared" si="1"/>
        <v>9.2142857142857183E-3</v>
      </c>
      <c r="AG38">
        <f t="shared" si="2"/>
        <v>2.4101585579651896E-3</v>
      </c>
      <c r="AI38" s="11" t="s">
        <v>713</v>
      </c>
      <c r="AJ38" s="18">
        <v>10000</v>
      </c>
      <c r="AK38" t="s">
        <v>720</v>
      </c>
      <c r="AL38" s="11">
        <f t="shared" si="6"/>
        <v>0.12857142857142861</v>
      </c>
      <c r="AM38" s="12">
        <f t="shared" si="7"/>
        <v>12.5</v>
      </c>
      <c r="AO38" s="7">
        <f t="shared" si="8"/>
        <v>1.0125905172656868</v>
      </c>
      <c r="AP38" s="7">
        <f t="shared" si="9"/>
        <v>53.151324638807303</v>
      </c>
      <c r="AQ38" s="7">
        <f t="shared" si="10"/>
        <v>4.337088134060095E-2</v>
      </c>
      <c r="AR38" s="7">
        <f t="shared" si="11"/>
        <v>0.52045057608721135</v>
      </c>
      <c r="AS38" s="7">
        <f t="shared" si="5"/>
        <v>72.063519922756342</v>
      </c>
      <c r="AT38" s="7">
        <f t="shared" si="12"/>
        <v>90.14419104075597</v>
      </c>
      <c r="AY38" s="49">
        <f t="shared" si="13"/>
        <v>13.51</v>
      </c>
      <c r="AZ38">
        <f t="shared" si="14"/>
        <v>6.6724049623061417</v>
      </c>
      <c r="BA38">
        <f t="shared" si="15"/>
        <v>6672.4049623061419</v>
      </c>
    </row>
    <row r="39" spans="1:58" x14ac:dyDescent="0.25">
      <c r="A39" s="1" t="s">
        <v>861</v>
      </c>
      <c r="J39" t="str">
        <f t="shared" si="0"/>
        <v xml:space="preserve">         4.6        0.69      0.7666      0.0579      0.0521       0.000       0.004       0.004              </v>
      </c>
      <c r="S39">
        <v>4.5999999999999996</v>
      </c>
      <c r="T39">
        <v>0.69</v>
      </c>
      <c r="U39">
        <v>0.76659999999999995</v>
      </c>
      <c r="V39">
        <v>5.79E-2</v>
      </c>
      <c r="W39">
        <v>5.21E-2</v>
      </c>
      <c r="X39">
        <v>0</v>
      </c>
      <c r="Y39">
        <v>4.0000000000000001E-3</v>
      </c>
      <c r="Z39">
        <v>4.0000000000000001E-3</v>
      </c>
      <c r="AF39">
        <f t="shared" si="1"/>
        <v>8.2714285714285737E-3</v>
      </c>
      <c r="AG39">
        <f t="shared" si="2"/>
        <v>2.1479133262694958E-3</v>
      </c>
      <c r="AI39" s="11" t="s">
        <v>1815</v>
      </c>
      <c r="AJ39" s="18">
        <v>2.5</v>
      </c>
      <c r="AK39" t="s">
        <v>721</v>
      </c>
      <c r="AL39" s="11">
        <f t="shared" si="6"/>
        <v>0.15428571428571433</v>
      </c>
      <c r="AM39" s="12">
        <f t="shared" si="7"/>
        <v>15</v>
      </c>
      <c r="AO39" s="7">
        <f t="shared" si="8"/>
        <v>1.0065849419687369</v>
      </c>
      <c r="AP39" s="7">
        <f t="shared" si="9"/>
        <v>53.784888218665458</v>
      </c>
      <c r="AQ39" s="7">
        <f t="shared" si="10"/>
        <v>4.2561335119868406E-2</v>
      </c>
      <c r="AR39" s="7">
        <f t="shared" si="11"/>
        <v>0.5107360214384209</v>
      </c>
      <c r="AS39" s="7">
        <f t="shared" si="5"/>
        <v>72.922516795735604</v>
      </c>
      <c r="AT39" s="7">
        <f t="shared" si="12"/>
        <v>91.218709442081007</v>
      </c>
      <c r="AY39" s="49">
        <f t="shared" si="13"/>
        <v>13.51</v>
      </c>
      <c r="AZ39">
        <f t="shared" si="14"/>
        <v>6.7519400031148047</v>
      </c>
      <c r="BA39">
        <f t="shared" si="15"/>
        <v>6751.9400031148043</v>
      </c>
    </row>
    <row r="40" spans="1:58" x14ac:dyDescent="0.25">
      <c r="A40" s="1" t="s">
        <v>862</v>
      </c>
      <c r="J40" t="str">
        <f t="shared" si="0"/>
        <v xml:space="preserve">         4.8        0.72      0.7729      0.0511      0.0478       0.000       0.004       0.004              </v>
      </c>
      <c r="S40">
        <v>4.8</v>
      </c>
      <c r="T40">
        <v>0.72</v>
      </c>
      <c r="U40">
        <v>0.77290000000000003</v>
      </c>
      <c r="V40">
        <v>5.11E-2</v>
      </c>
      <c r="W40">
        <v>4.7800000000000002E-2</v>
      </c>
      <c r="X40">
        <v>0</v>
      </c>
      <c r="Y40">
        <v>4.0000000000000001E-3</v>
      </c>
      <c r="Z40">
        <v>4.0000000000000001E-3</v>
      </c>
      <c r="AF40">
        <f t="shared" si="1"/>
        <v>7.3000000000000009E-3</v>
      </c>
      <c r="AG40">
        <f t="shared" si="2"/>
        <v>2.4337413227202313E-3</v>
      </c>
      <c r="AI40" s="50" t="s">
        <v>1816</v>
      </c>
      <c r="AJ40" s="18">
        <v>14.8</v>
      </c>
      <c r="AK40" t="s">
        <v>1814</v>
      </c>
      <c r="AL40" s="11">
        <f t="shared" si="6"/>
        <v>0.18000000000000005</v>
      </c>
      <c r="AM40" s="12">
        <f t="shared" si="7"/>
        <v>17.5</v>
      </c>
      <c r="AO40" s="7">
        <f t="shared" si="8"/>
        <v>0.99883684380730409</v>
      </c>
      <c r="AP40" s="7">
        <f t="shared" si="9"/>
        <v>54.359808530779702</v>
      </c>
      <c r="AQ40" s="7">
        <f t="shared" si="10"/>
        <v>4.169314952544436E-2</v>
      </c>
      <c r="AR40" s="7">
        <f t="shared" si="11"/>
        <v>0.5003177943053323</v>
      </c>
      <c r="AS40" s="7">
        <f t="shared" si="5"/>
        <v>73.702004073759014</v>
      </c>
      <c r="AT40" s="7">
        <f t="shared" si="12"/>
        <v>92.193769363929093</v>
      </c>
      <c r="AY40" s="49">
        <f t="shared" si="13"/>
        <v>13.51</v>
      </c>
      <c r="AZ40">
        <f t="shared" si="14"/>
        <v>6.8241132023633675</v>
      </c>
      <c r="BA40">
        <f t="shared" si="15"/>
        <v>6824.1132023633672</v>
      </c>
    </row>
    <row r="41" spans="1:58" x14ac:dyDescent="0.25">
      <c r="A41" s="1" t="s">
        <v>863</v>
      </c>
      <c r="J41" t="str">
        <f t="shared" si="0"/>
        <v xml:space="preserve">         5.0        0.76      0.7761      0.0441      0.0429       0.000       0.004       0.003              </v>
      </c>
      <c r="S41">
        <v>5</v>
      </c>
      <c r="T41">
        <v>0.76</v>
      </c>
      <c r="U41">
        <v>0.77610000000000001</v>
      </c>
      <c r="V41">
        <v>4.41E-2</v>
      </c>
      <c r="W41">
        <v>4.2900000000000001E-2</v>
      </c>
      <c r="X41">
        <v>0</v>
      </c>
      <c r="Y41">
        <v>4.0000000000000001E-3</v>
      </c>
      <c r="Z41">
        <v>3.0000000000000001E-3</v>
      </c>
      <c r="AF41">
        <f t="shared" si="1"/>
        <v>8.3999999999999995E-3</v>
      </c>
      <c r="AG41">
        <f t="shared" si="2"/>
        <v>2.11503710188782E-3</v>
      </c>
      <c r="AI41" s="55" t="s">
        <v>1812</v>
      </c>
      <c r="AJ41" s="56">
        <v>11000</v>
      </c>
      <c r="AK41" t="s">
        <v>1813</v>
      </c>
      <c r="AL41" s="11">
        <f t="shared" si="6"/>
        <v>0.20571428571428577</v>
      </c>
      <c r="AM41" s="12">
        <f t="shared" si="7"/>
        <v>20</v>
      </c>
      <c r="AO41" s="7">
        <f t="shared" si="8"/>
        <v>0.9892749922395272</v>
      </c>
      <c r="AP41" s="7">
        <f t="shared" si="9"/>
        <v>54.863873460844616</v>
      </c>
      <c r="AQ41" s="7">
        <f t="shared" si="10"/>
        <v>4.075408490650996E-2</v>
      </c>
      <c r="AR41" s="7">
        <f t="shared" si="11"/>
        <v>0.48904901887811952</v>
      </c>
      <c r="AS41" s="7">
        <f t="shared" si="5"/>
        <v>74.385424353064224</v>
      </c>
      <c r="AT41" s="7">
        <f t="shared" si="12"/>
        <v>93.048659165105207</v>
      </c>
      <c r="AY41" s="49">
        <f t="shared" si="13"/>
        <v>13.51</v>
      </c>
      <c r="AZ41">
        <f t="shared" si="14"/>
        <v>6.8873915000077872</v>
      </c>
      <c r="BA41">
        <f t="shared" si="15"/>
        <v>6887.3915000077868</v>
      </c>
    </row>
    <row r="42" spans="1:58" ht="15.75" thickBot="1" x14ac:dyDescent="0.3">
      <c r="A42" s="1" t="s">
        <v>864</v>
      </c>
      <c r="J42" t="str">
        <f t="shared" si="0"/>
        <v xml:space="preserve">         5.2        0.79      0.7752      0.0369      0.0376       0.000       0.003       0.003              </v>
      </c>
      <c r="S42">
        <v>5.2</v>
      </c>
      <c r="T42">
        <v>0.79</v>
      </c>
      <c r="U42">
        <v>0.7752</v>
      </c>
      <c r="V42">
        <v>3.6900000000000002E-2</v>
      </c>
      <c r="W42">
        <v>3.7600000000000001E-2</v>
      </c>
      <c r="X42">
        <v>0</v>
      </c>
      <c r="Y42">
        <v>3.0000000000000001E-3</v>
      </c>
      <c r="Z42">
        <v>3.0000000000000001E-3</v>
      </c>
      <c r="AF42">
        <f t="shared" si="1"/>
        <v>5.271428571428571E-3</v>
      </c>
      <c r="AG42">
        <f t="shared" si="2"/>
        <v>2.5277272681098338E-3</v>
      </c>
      <c r="AI42" s="51" t="s">
        <v>1817</v>
      </c>
      <c r="AJ42" s="17"/>
      <c r="AL42" s="11">
        <f t="shared" si="6"/>
        <v>0.23142857142857148</v>
      </c>
      <c r="AM42" s="12">
        <f t="shared" si="7"/>
        <v>22.5</v>
      </c>
      <c r="AO42" s="7">
        <f t="shared" si="8"/>
        <v>0.97783929630665167</v>
      </c>
      <c r="AP42" s="7">
        <f t="shared" si="9"/>
        <v>55.285443232421621</v>
      </c>
      <c r="AQ42" s="7">
        <f t="shared" si="10"/>
        <v>3.9732508733077571E-2</v>
      </c>
      <c r="AR42" s="7">
        <f t="shared" si="11"/>
        <v>0.47679010479693085</v>
      </c>
      <c r="AS42" s="7">
        <f t="shared" si="5"/>
        <v>74.956996215841286</v>
      </c>
      <c r="AT42" s="7">
        <f t="shared" si="12"/>
        <v>93.763637884531121</v>
      </c>
      <c r="AY42" s="49">
        <f t="shared" si="13"/>
        <v>13.51</v>
      </c>
      <c r="AZ42">
        <f t="shared" si="14"/>
        <v>6.9403136850134066</v>
      </c>
      <c r="BA42">
        <f t="shared" si="15"/>
        <v>6940.3136850134069</v>
      </c>
    </row>
    <row r="43" spans="1:58" x14ac:dyDescent="0.25">
      <c r="A43" s="1" t="s">
        <v>865</v>
      </c>
      <c r="J43" t="str">
        <f t="shared" si="0"/>
        <v xml:space="preserve">         5.5        0.82      0.7673      0.0297      0.0318       0.000       0.003       0.002              </v>
      </c>
      <c r="S43">
        <v>5.5</v>
      </c>
      <c r="T43">
        <v>0.82</v>
      </c>
      <c r="U43">
        <v>0.76729999999999998</v>
      </c>
      <c r="V43">
        <v>2.9700000000000001E-2</v>
      </c>
      <c r="W43">
        <v>3.1800000000000002E-2</v>
      </c>
      <c r="X43">
        <v>0</v>
      </c>
      <c r="Y43">
        <v>3.0000000000000001E-3</v>
      </c>
      <c r="Z43">
        <v>2E-3</v>
      </c>
      <c r="AF43">
        <f t="shared" si="1"/>
        <v>6.3642857142857156E-3</v>
      </c>
      <c r="AG43">
        <f t="shared" si="2"/>
        <v>2.09367309075764E-3</v>
      </c>
      <c r="AL43" s="11">
        <f t="shared" si="6"/>
        <v>0.25714285714285723</v>
      </c>
      <c r="AM43" s="12">
        <f t="shared" si="7"/>
        <v>25</v>
      </c>
      <c r="AO43" s="7">
        <f t="shared" si="8"/>
        <v>0.96448080463303199</v>
      </c>
      <c r="AP43" s="7">
        <f t="shared" si="9"/>
        <v>55.613450406939059</v>
      </c>
      <c r="AQ43" s="7">
        <f t="shared" si="10"/>
        <v>3.8617395595990693E-2</v>
      </c>
      <c r="AR43" s="7">
        <f t="shared" si="11"/>
        <v>0.46340874715188829</v>
      </c>
      <c r="AS43" s="7">
        <f t="shared" si="5"/>
        <v>75.401714230232713</v>
      </c>
      <c r="AT43" s="7">
        <f t="shared" si="12"/>
        <v>94.319935241245545</v>
      </c>
      <c r="AY43" s="49">
        <f t="shared" si="13"/>
        <v>13.51</v>
      </c>
      <c r="AZ43">
        <f t="shared" si="14"/>
        <v>6.981490395354963</v>
      </c>
      <c r="BA43">
        <f t="shared" si="15"/>
        <v>6981.4903953549629</v>
      </c>
    </row>
    <row r="44" spans="1:58" x14ac:dyDescent="0.25">
      <c r="A44" s="1" t="s">
        <v>866</v>
      </c>
      <c r="J44" t="str">
        <f t="shared" si="0"/>
        <v xml:space="preserve">         5.7        0.86      0.7448      0.0224      0.0257       0.000       0.002       0.002              </v>
      </c>
      <c r="S44">
        <v>5.7</v>
      </c>
      <c r="T44">
        <v>0.86</v>
      </c>
      <c r="U44">
        <v>0.74480000000000002</v>
      </c>
      <c r="V44">
        <v>2.24E-2</v>
      </c>
      <c r="W44">
        <v>2.5700000000000001E-2</v>
      </c>
      <c r="X44">
        <v>0</v>
      </c>
      <c r="Y44">
        <v>2E-3</v>
      </c>
      <c r="Z44">
        <v>2E-3</v>
      </c>
      <c r="AF44">
        <f t="shared" si="1"/>
        <v>3.2000000000000002E-3</v>
      </c>
      <c r="AG44">
        <f t="shared" si="2"/>
        <v>2.7759861962277639E-3</v>
      </c>
      <c r="AL44" s="11">
        <f t="shared" si="6"/>
        <v>0.28285714285714292</v>
      </c>
      <c r="AM44" s="12">
        <f t="shared" si="7"/>
        <v>27.5</v>
      </c>
      <c r="AO44" s="7">
        <f t="shared" si="8"/>
        <v>0.94916170542612888</v>
      </c>
      <c r="AP44" s="7">
        <f t="shared" si="9"/>
        <v>55.8373998836921</v>
      </c>
      <c r="AQ44" s="7">
        <f t="shared" si="10"/>
        <v>3.7398327206923966E-2</v>
      </c>
      <c r="AR44" s="7">
        <f t="shared" si="11"/>
        <v>0.44877992648308762</v>
      </c>
      <c r="AS44" s="7">
        <f t="shared" si="5"/>
        <v>75.705348950333374</v>
      </c>
      <c r="AT44" s="7">
        <f t="shared" si="12"/>
        <v>94.699751634403952</v>
      </c>
      <c r="AY44" s="49">
        <f t="shared" si="13"/>
        <v>13.51</v>
      </c>
      <c r="AZ44">
        <f t="shared" si="14"/>
        <v>7.0096041180165773</v>
      </c>
      <c r="BA44">
        <f t="shared" si="15"/>
        <v>7009.6041180165776</v>
      </c>
    </row>
    <row r="45" spans="1:58" x14ac:dyDescent="0.25">
      <c r="A45" s="1" t="s">
        <v>867</v>
      </c>
      <c r="J45" t="str">
        <f t="shared" si="0"/>
        <v xml:space="preserve">         5.9        0.89      0.6920      0.0150      0.0193       0.000       0.002       0.001              </v>
      </c>
      <c r="S45">
        <v>5.9</v>
      </c>
      <c r="T45">
        <v>0.89</v>
      </c>
      <c r="U45">
        <v>0.69199999999999995</v>
      </c>
      <c r="V45">
        <v>1.4999999999999999E-2</v>
      </c>
      <c r="W45">
        <v>1.9300000000000001E-2</v>
      </c>
      <c r="X45">
        <v>0</v>
      </c>
      <c r="Y45">
        <v>2E-3</v>
      </c>
      <c r="Z45">
        <v>1E-3</v>
      </c>
      <c r="AF45">
        <f t="shared" si="1"/>
        <v>4.2857142857142859E-3</v>
      </c>
      <c r="AG45">
        <f t="shared" si="2"/>
        <v>2.0727363598500637E-3</v>
      </c>
      <c r="AL45" s="11">
        <f t="shared" si="6"/>
        <v>0.30857142857142866</v>
      </c>
      <c r="AM45" s="12">
        <f t="shared" si="7"/>
        <v>30</v>
      </c>
      <c r="AO45" s="7">
        <f t="shared" si="8"/>
        <v>0.93185532647651093</v>
      </c>
      <c r="AP45" s="7">
        <f t="shared" si="9"/>
        <v>55.94736889984285</v>
      </c>
      <c r="AQ45" s="7">
        <f t="shared" si="10"/>
        <v>3.6065492398383213E-2</v>
      </c>
      <c r="AR45" s="7">
        <f t="shared" si="11"/>
        <v>0.43278590878059853</v>
      </c>
      <c r="AS45" s="7">
        <f t="shared" si="5"/>
        <v>75.854446916190639</v>
      </c>
      <c r="AT45" s="7">
        <f t="shared" si="12"/>
        <v>94.886258143278781</v>
      </c>
      <c r="AY45" s="49">
        <f t="shared" si="13"/>
        <v>13.51</v>
      </c>
      <c r="AZ45">
        <f t="shared" si="14"/>
        <v>7.023409188991768</v>
      </c>
      <c r="BA45">
        <f t="shared" si="15"/>
        <v>7023.4091889917681</v>
      </c>
    </row>
    <row r="46" spans="1:58" x14ac:dyDescent="0.25">
      <c r="A46" s="1" t="s">
        <v>868</v>
      </c>
      <c r="J46" t="str">
        <f t="shared" si="0"/>
        <v xml:space="preserve">         6.1        0.92      0.5590      0.0076      0.0125       0.000       0.001       0.001              </v>
      </c>
      <c r="S46">
        <v>6.1</v>
      </c>
      <c r="T46">
        <v>0.92</v>
      </c>
      <c r="U46">
        <v>0.55900000000000005</v>
      </c>
      <c r="V46">
        <v>7.6E-3</v>
      </c>
      <c r="W46">
        <v>1.2500000000000001E-2</v>
      </c>
      <c r="X46">
        <v>0</v>
      </c>
      <c r="Y46">
        <v>1E-3</v>
      </c>
      <c r="Z46">
        <v>1E-3</v>
      </c>
      <c r="AF46">
        <f t="shared" si="1"/>
        <v>1.0857142857142858E-3</v>
      </c>
      <c r="AG46">
        <f t="shared" si="2"/>
        <v>4.0909270260198619E-3</v>
      </c>
      <c r="AL46" s="11">
        <f t="shared" si="6"/>
        <v>0.33428571428571435</v>
      </c>
      <c r="AM46" s="12">
        <f t="shared" si="7"/>
        <v>32.5</v>
      </c>
      <c r="AO46" s="7">
        <f t="shared" si="8"/>
        <v>0.9125461351578541</v>
      </c>
      <c r="AP46" s="7">
        <f t="shared" si="9"/>
        <v>55.934007030420226</v>
      </c>
      <c r="AQ46" s="7">
        <f t="shared" si="10"/>
        <v>3.4609687123705421E-2</v>
      </c>
      <c r="AR46" s="7">
        <f t="shared" si="11"/>
        <v>0.41531624548446505</v>
      </c>
      <c r="AS46" s="7">
        <f t="shared" si="5"/>
        <v>75.836330653804211</v>
      </c>
      <c r="AT46" s="7">
        <f t="shared" si="12"/>
        <v>94.863596527259233</v>
      </c>
      <c r="AY46" s="49">
        <f t="shared" si="13"/>
        <v>13.51</v>
      </c>
      <c r="AZ46">
        <f t="shared" si="14"/>
        <v>7.0217317932834371</v>
      </c>
      <c r="BA46">
        <f t="shared" si="15"/>
        <v>7021.7317932834367</v>
      </c>
    </row>
    <row r="47" spans="1:58" x14ac:dyDescent="0.25">
      <c r="A47" s="1" t="s">
        <v>869</v>
      </c>
      <c r="J47" t="str">
        <f t="shared" si="0"/>
        <v xml:space="preserve">         6.3        0.95     -0.0152     -0.0001      0.0059       0.000       0.001       0.000              </v>
      </c>
      <c r="S47">
        <v>6.3</v>
      </c>
      <c r="T47">
        <v>0.95</v>
      </c>
      <c r="U47">
        <v>-1.52E-2</v>
      </c>
      <c r="V47">
        <v>-1E-4</v>
      </c>
      <c r="W47">
        <v>5.8999999999999999E-3</v>
      </c>
      <c r="X47">
        <v>0</v>
      </c>
      <c r="Y47">
        <v>1E-3</v>
      </c>
      <c r="Z47">
        <v>0</v>
      </c>
      <c r="AL47" s="11">
        <f t="shared" si="6"/>
        <v>0.3600000000000001</v>
      </c>
      <c r="AM47" s="12">
        <f t="shared" si="7"/>
        <v>35</v>
      </c>
      <c r="AO47" s="7">
        <f t="shared" si="8"/>
        <v>0.89122973842694198</v>
      </c>
      <c r="AP47" s="7">
        <f t="shared" si="9"/>
        <v>55.788536188320059</v>
      </c>
      <c r="AQ47" s="7">
        <f t="shared" si="10"/>
        <v>3.3022314457058735E-2</v>
      </c>
      <c r="AR47" s="7">
        <f t="shared" si="11"/>
        <v>0.39626777348470482</v>
      </c>
      <c r="AS47" s="7">
        <f t="shared" si="5"/>
        <v>75.639098675126277</v>
      </c>
      <c r="AT47" s="7">
        <f t="shared" si="12"/>
        <v>94.616879225851434</v>
      </c>
      <c r="AY47" s="49">
        <f t="shared" si="13"/>
        <v>13.51</v>
      </c>
      <c r="AZ47">
        <f t="shared" si="14"/>
        <v>7.0034699649038812</v>
      </c>
      <c r="BA47">
        <f t="shared" si="15"/>
        <v>7003.4699649038812</v>
      </c>
    </row>
    <row r="48" spans="1:58" x14ac:dyDescent="0.25">
      <c r="A48" s="1" t="s">
        <v>1</v>
      </c>
      <c r="AL48" s="11">
        <f t="shared" si="6"/>
        <v>0.38571428571428579</v>
      </c>
      <c r="AM48" s="12">
        <f t="shared" si="7"/>
        <v>37.5</v>
      </c>
      <c r="AO48" s="7">
        <f t="shared" si="8"/>
        <v>0.86791288282366552</v>
      </c>
      <c r="AP48" s="7">
        <f t="shared" si="9"/>
        <v>55.502750624305058</v>
      </c>
      <c r="AQ48" s="7">
        <f t="shared" si="10"/>
        <v>3.129538459344245E-2</v>
      </c>
      <c r="AR48" s="7">
        <f t="shared" si="11"/>
        <v>0.37554461512130943</v>
      </c>
      <c r="AS48" s="7">
        <f t="shared" si="5"/>
        <v>75.251625478061413</v>
      </c>
      <c r="AT48" s="7">
        <f t="shared" si="12"/>
        <v>94.132189358678318</v>
      </c>
      <c r="AY48" s="49">
        <f t="shared" si="13"/>
        <v>13.51</v>
      </c>
      <c r="AZ48">
        <f t="shared" si="14"/>
        <v>6.9675935868747834</v>
      </c>
      <c r="BA48">
        <f t="shared" si="15"/>
        <v>6967.5935868747838</v>
      </c>
    </row>
    <row r="49" spans="1:53" x14ac:dyDescent="0.25">
      <c r="A49" s="1" t="s">
        <v>1</v>
      </c>
      <c r="AL49" s="11">
        <f t="shared" si="6"/>
        <v>0.41142857142857153</v>
      </c>
      <c r="AM49" s="12">
        <f t="shared" si="7"/>
        <v>40</v>
      </c>
      <c r="AO49" s="7">
        <f t="shared" si="8"/>
        <v>0.84261345447102298</v>
      </c>
      <c r="AP49" s="7">
        <f t="shared" si="9"/>
        <v>55.069016927004768</v>
      </c>
      <c r="AQ49" s="7">
        <f t="shared" si="10"/>
        <v>2.9421514848687016E-2</v>
      </c>
      <c r="AR49" s="7">
        <f t="shared" si="11"/>
        <v>0.35305817818424418</v>
      </c>
      <c r="AS49" s="7">
        <f t="shared" si="5"/>
        <v>74.663561546466582</v>
      </c>
      <c r="AT49" s="7">
        <f t="shared" si="12"/>
        <v>93.396580725479666</v>
      </c>
      <c r="AY49" s="49">
        <f t="shared" si="13"/>
        <v>13.51</v>
      </c>
      <c r="AZ49">
        <f t="shared" si="14"/>
        <v>6.9131443912272141</v>
      </c>
      <c r="BA49">
        <f t="shared" si="15"/>
        <v>6913.1443912272143</v>
      </c>
    </row>
    <row r="50" spans="1:53" x14ac:dyDescent="0.25">
      <c r="A50" s="1" t="s">
        <v>1</v>
      </c>
      <c r="AL50" s="11">
        <f t="shared" si="6"/>
        <v>0.43714285714285722</v>
      </c>
      <c r="AM50" s="12">
        <f t="shared" si="7"/>
        <v>42.5</v>
      </c>
      <c r="AO50" s="7">
        <f t="shared" si="8"/>
        <v>0.81536047907511999</v>
      </c>
      <c r="AP50" s="7">
        <f t="shared" si="9"/>
        <v>54.480274022915673</v>
      </c>
      <c r="AQ50" s="7">
        <f t="shared" si="10"/>
        <v>2.7393929659454079E-2</v>
      </c>
      <c r="AR50" s="7">
        <f t="shared" si="11"/>
        <v>0.32872715591344892</v>
      </c>
      <c r="AS50" s="7">
        <f t="shared" si="5"/>
        <v>73.865333350151246</v>
      </c>
      <c r="AT50" s="7">
        <f t="shared" si="12"/>
        <v>92.398077806112212</v>
      </c>
      <c r="AY50" s="49">
        <f t="shared" si="13"/>
        <v>13.51</v>
      </c>
      <c r="AZ50">
        <f t="shared" si="14"/>
        <v>6.8392359590016438</v>
      </c>
      <c r="BA50">
        <f t="shared" si="15"/>
        <v>6839.235959001644</v>
      </c>
    </row>
    <row r="51" spans="1:53" x14ac:dyDescent="0.25">
      <c r="A51" s="1" t="s">
        <v>41</v>
      </c>
      <c r="J51" s="43" t="s">
        <v>1783</v>
      </c>
      <c r="S51">
        <v>2000</v>
      </c>
      <c r="AC51" s="5" t="str">
        <f>CONCATENATE($V$16,$AC$13,S51)</f>
        <v>Ct@2000</v>
      </c>
      <c r="AD51" s="3" t="str">
        <f>CONCATENATE($W$16,$AC$13,S51)</f>
        <v>Cp@2000</v>
      </c>
      <c r="AE51" s="3" t="str">
        <f>CONCATENATE($AF$16,$AC$13,S51)</f>
        <v>Kq@2000</v>
      </c>
      <c r="AL51" s="11">
        <f t="shared" si="6"/>
        <v>0.46285714285714297</v>
      </c>
      <c r="AM51" s="12">
        <f t="shared" si="7"/>
        <v>45</v>
      </c>
      <c r="AO51" s="7">
        <f t="shared" si="8"/>
        <v>0.78619412192516991</v>
      </c>
      <c r="AP51" s="7">
        <f t="shared" si="9"/>
        <v>53.730033176401051</v>
      </c>
      <c r="AQ51" s="7">
        <f t="shared" si="10"/>
        <v>2.5206460583236386E-2</v>
      </c>
      <c r="AR51" s="7">
        <f t="shared" si="11"/>
        <v>0.30247752699883662</v>
      </c>
      <c r="AS51" s="7">
        <f t="shared" si="5"/>
        <v>72.848143344877172</v>
      </c>
      <c r="AT51" s="7">
        <f t="shared" si="12"/>
        <v>91.12567576054937</v>
      </c>
      <c r="AY51" s="49">
        <f t="shared" si="13"/>
        <v>13.51</v>
      </c>
      <c r="AZ51">
        <f t="shared" si="14"/>
        <v>6.7450537202479177</v>
      </c>
      <c r="BA51">
        <f t="shared" si="15"/>
        <v>6745.0537202479181</v>
      </c>
    </row>
    <row r="52" spans="1:53" x14ac:dyDescent="0.25">
      <c r="A52" s="1" t="s">
        <v>1</v>
      </c>
      <c r="AL52" s="11">
        <f t="shared" si="6"/>
        <v>0.48857142857142866</v>
      </c>
      <c r="AM52" s="12">
        <f t="shared" si="7"/>
        <v>47.5</v>
      </c>
      <c r="AO52" s="7">
        <f t="shared" si="8"/>
        <v>0.75516568789349392</v>
      </c>
      <c r="AP52" s="7">
        <f t="shared" si="9"/>
        <v>52.812377989691129</v>
      </c>
      <c r="AQ52" s="7">
        <f t="shared" si="10"/>
        <v>2.2853546298357914E-2</v>
      </c>
      <c r="AR52" s="7">
        <f t="shared" si="11"/>
        <v>0.27424255558029498</v>
      </c>
      <c r="AS52" s="7">
        <f t="shared" si="5"/>
        <v>71.603969972358669</v>
      </c>
      <c r="AT52" s="7">
        <f t="shared" si="12"/>
        <v>89.569340428881603</v>
      </c>
      <c r="AY52" s="49">
        <f t="shared" si="13"/>
        <v>13.51</v>
      </c>
      <c r="AZ52">
        <f t="shared" si="14"/>
        <v>6.6298549540252854</v>
      </c>
      <c r="BA52">
        <f t="shared" si="15"/>
        <v>6629.8549540252852</v>
      </c>
    </row>
    <row r="53" spans="1:53" x14ac:dyDescent="0.25">
      <c r="A53" s="1" t="s">
        <v>9</v>
      </c>
      <c r="J53" t="str">
        <f>A53</f>
        <v xml:space="preserve">         V          J           Pe         Ct          Cp          PWR         Torque      Thrust             </v>
      </c>
      <c r="S53" t="s">
        <v>662</v>
      </c>
      <c r="T53" t="s">
        <v>663</v>
      </c>
      <c r="U53" t="s">
        <v>664</v>
      </c>
      <c r="V53" t="s">
        <v>665</v>
      </c>
      <c r="W53" t="s">
        <v>666</v>
      </c>
      <c r="X53" t="s">
        <v>667</v>
      </c>
      <c r="Y53" t="s">
        <v>668</v>
      </c>
      <c r="Z53" t="s">
        <v>669</v>
      </c>
      <c r="AF53" t="s">
        <v>702</v>
      </c>
      <c r="AG53" t="s">
        <v>698</v>
      </c>
      <c r="AH53" t="s">
        <v>700</v>
      </c>
      <c r="AL53" s="11">
        <f t="shared" si="6"/>
        <v>0.51428571428571446</v>
      </c>
      <c r="AM53" s="12">
        <f t="shared" si="7"/>
        <v>50</v>
      </c>
      <c r="AO53" s="7">
        <f t="shared" si="8"/>
        <v>0.72233762143551949</v>
      </c>
      <c r="AP53" s="7">
        <f t="shared" si="9"/>
        <v>51.721964402882961</v>
      </c>
      <c r="AQ53" s="7">
        <f t="shared" si="10"/>
        <v>2.0330232603973736E-2</v>
      </c>
      <c r="AR53" s="7">
        <f t="shared" si="11"/>
        <v>0.24396279124768483</v>
      </c>
      <c r="AS53" s="7">
        <f t="shared" si="5"/>
        <v>70.125567660262348</v>
      </c>
      <c r="AT53" s="7">
        <f t="shared" si="12"/>
        <v>87.72000833131608</v>
      </c>
      <c r="AY53" s="49">
        <f t="shared" si="13"/>
        <v>13.51</v>
      </c>
      <c r="AZ53">
        <f t="shared" si="14"/>
        <v>6.4929687884023748</v>
      </c>
      <c r="BA53">
        <f t="shared" si="15"/>
        <v>6492.9687884023751</v>
      </c>
    </row>
    <row r="54" spans="1:53" x14ac:dyDescent="0.25">
      <c r="A54" s="1" t="s">
        <v>10</v>
      </c>
      <c r="J54" t="str">
        <f t="shared" ref="J54:J84" si="16">A54</f>
        <v xml:space="preserve">       (mph)     (Adv Ratio)                                       (Hp)        (In-Lbf)     (Lbf)             </v>
      </c>
      <c r="S54" t="s">
        <v>670</v>
      </c>
      <c r="T54" t="s">
        <v>1780</v>
      </c>
      <c r="U54" t="s">
        <v>1781</v>
      </c>
      <c r="V54" t="s">
        <v>672</v>
      </c>
      <c r="W54" t="s">
        <v>673</v>
      </c>
      <c r="X54" t="s">
        <v>674</v>
      </c>
      <c r="AF54" t="s">
        <v>703</v>
      </c>
      <c r="AG54" t="s">
        <v>699</v>
      </c>
      <c r="AH54" t="s">
        <v>699</v>
      </c>
      <c r="AL54" s="11">
        <f t="shared" si="6"/>
        <v>0.54000000000000015</v>
      </c>
      <c r="AM54" s="12">
        <f t="shared" si="7"/>
        <v>52.5</v>
      </c>
      <c r="AO54" s="7">
        <f t="shared" si="8"/>
        <v>0.6877835065897826</v>
      </c>
      <c r="AP54" s="7">
        <f t="shared" si="9"/>
        <v>50.454020693940521</v>
      </c>
      <c r="AQ54" s="7">
        <f t="shared" si="10"/>
        <v>1.763217242007014E-2</v>
      </c>
      <c r="AR54" s="7">
        <f t="shared" si="11"/>
        <v>0.21158606904084168</v>
      </c>
      <c r="AS54" s="7">
        <f t="shared" si="5"/>
        <v>68.406466822207349</v>
      </c>
      <c r="AT54" s="7">
        <f t="shared" si="12"/>
        <v>85.569586668176939</v>
      </c>
      <c r="AY54" s="49">
        <f t="shared" si="13"/>
        <v>13.51</v>
      </c>
      <c r="AZ54">
        <f t="shared" si="14"/>
        <v>6.3337962004572121</v>
      </c>
      <c r="BA54">
        <f t="shared" si="15"/>
        <v>6333.7962004572119</v>
      </c>
    </row>
    <row r="55" spans="1:53" x14ac:dyDescent="0.25">
      <c r="A55" s="1" t="s">
        <v>870</v>
      </c>
      <c r="J55" t="str">
        <f t="shared" si="16"/>
        <v xml:space="preserve">         0.0        0.00      0.0000      0.1320      0.0659       0.001       0.022       0.040              </v>
      </c>
      <c r="S55">
        <v>0</v>
      </c>
      <c r="T55">
        <v>0</v>
      </c>
      <c r="U55">
        <v>0</v>
      </c>
      <c r="V55">
        <v>0.13200000000000001</v>
      </c>
      <c r="W55">
        <v>6.59E-2</v>
      </c>
      <c r="X55">
        <v>1E-3</v>
      </c>
      <c r="Y55">
        <v>2.1999999999999999E-2</v>
      </c>
      <c r="Z55">
        <v>0.04</v>
      </c>
      <c r="AF55">
        <f t="shared" ref="AF55:AF83" si="17">(Y55*(1/12))/(AG55*(($S$51*(1/60))^2)*($AJ$36*(1/12))^5)</f>
        <v>1.0371428571428575E-2</v>
      </c>
      <c r="AG55">
        <f t="shared" ref="AG55:AG83" si="18">Z55/(V55*(($S$51*(1/60))^2)*(($AJ$36*(1/12))^4))</f>
        <v>2.3553822271023444E-3</v>
      </c>
      <c r="AH55">
        <f>AVERAGE(AG55:AG83)</f>
        <v>2.3757172014790234E-3</v>
      </c>
      <c r="AL55" s="11">
        <f t="shared" si="6"/>
        <v>0.56571428571428584</v>
      </c>
      <c r="AM55" s="12">
        <f t="shared" si="7"/>
        <v>55</v>
      </c>
      <c r="AO55" s="7">
        <f t="shared" si="8"/>
        <v>0.65158806697792626</v>
      </c>
      <c r="AP55" s="7">
        <f t="shared" si="9"/>
        <v>49.004347478694591</v>
      </c>
      <c r="AQ55" s="7">
        <f t="shared" si="10"/>
        <v>1.4755625787464539E-2</v>
      </c>
      <c r="AR55" s="7">
        <f t="shared" si="11"/>
        <v>0.17706750944957447</v>
      </c>
      <c r="AS55" s="7">
        <f t="shared" si="5"/>
        <v>66.440973857765101</v>
      </c>
      <c r="AT55" s="7">
        <f t="shared" si="12"/>
        <v>83.110953319905065</v>
      </c>
      <c r="AY55" s="49">
        <f t="shared" si="13"/>
        <v>13.51</v>
      </c>
      <c r="AZ55">
        <f t="shared" si="14"/>
        <v>6.1518100162772074</v>
      </c>
      <c r="BA55">
        <f t="shared" si="15"/>
        <v>6151.8100162772071</v>
      </c>
    </row>
    <row r="56" spans="1:53" x14ac:dyDescent="0.25">
      <c r="A56" s="1" t="s">
        <v>871</v>
      </c>
      <c r="J56" t="str">
        <f t="shared" si="16"/>
        <v xml:space="preserve">         0.4        0.03      0.0644      0.1316      0.0671       0.001       0.023       0.040              </v>
      </c>
      <c r="S56">
        <v>0.4</v>
      </c>
      <c r="T56">
        <v>0.03</v>
      </c>
      <c r="U56">
        <v>6.4399999999999999E-2</v>
      </c>
      <c r="V56">
        <v>0.13159999999999999</v>
      </c>
      <c r="W56">
        <v>6.7100000000000007E-2</v>
      </c>
      <c r="X56">
        <v>1E-3</v>
      </c>
      <c r="Y56">
        <v>2.3E-2</v>
      </c>
      <c r="Z56">
        <v>0.04</v>
      </c>
      <c r="AF56">
        <f t="shared" si="17"/>
        <v>1.0810000000000002E-2</v>
      </c>
      <c r="AG56">
        <f t="shared" si="18"/>
        <v>2.3625414435980963E-3</v>
      </c>
      <c r="AL56" s="11">
        <f t="shared" si="6"/>
        <v>0.59142857142857153</v>
      </c>
      <c r="AM56" s="12">
        <f t="shared" si="7"/>
        <v>57.5</v>
      </c>
      <c r="AO56" s="7">
        <f t="shared" si="8"/>
        <v>0.61384716580470089</v>
      </c>
      <c r="AP56" s="7">
        <f t="shared" si="9"/>
        <v>47.369317710842914</v>
      </c>
      <c r="AQ56" s="7">
        <f t="shared" si="10"/>
        <v>1.169745986780551E-2</v>
      </c>
      <c r="AR56" s="7">
        <f t="shared" si="11"/>
        <v>0.14036951841366613</v>
      </c>
      <c r="AS56" s="7">
        <f t="shared" si="5"/>
        <v>64.224171152459604</v>
      </c>
      <c r="AT56" s="7">
        <f t="shared" si="12"/>
        <v>80.337956847058337</v>
      </c>
      <c r="AY56" s="49">
        <f t="shared" si="13"/>
        <v>13.51</v>
      </c>
      <c r="AZ56">
        <f t="shared" si="14"/>
        <v>5.9465549109591667</v>
      </c>
      <c r="BA56">
        <f t="shared" si="15"/>
        <v>5946.5549109591666</v>
      </c>
    </row>
    <row r="57" spans="1:53" x14ac:dyDescent="0.25">
      <c r="A57" s="1" t="s">
        <v>872</v>
      </c>
      <c r="J57" t="str">
        <f t="shared" si="16"/>
        <v xml:space="preserve">         0.9        0.07      0.1262      0.1311      0.0682       0.001       0.023       0.040              </v>
      </c>
      <c r="S57">
        <v>0.9</v>
      </c>
      <c r="T57">
        <v>7.0000000000000007E-2</v>
      </c>
      <c r="U57">
        <v>0.12620000000000001</v>
      </c>
      <c r="V57">
        <v>0.13109999999999999</v>
      </c>
      <c r="W57">
        <v>6.8199999999999997E-2</v>
      </c>
      <c r="X57">
        <v>1E-3</v>
      </c>
      <c r="Y57">
        <v>2.3E-2</v>
      </c>
      <c r="Z57">
        <v>0.04</v>
      </c>
      <c r="AF57">
        <f t="shared" si="17"/>
        <v>1.0768928571428572E-2</v>
      </c>
      <c r="AG57">
        <f t="shared" si="18"/>
        <v>2.3715518991419492E-3</v>
      </c>
      <c r="AL57" s="44">
        <f t="shared" si="6"/>
        <v>0.61714285714285733</v>
      </c>
      <c r="AM57" s="45">
        <f t="shared" si="7"/>
        <v>60</v>
      </c>
      <c r="AN57" s="46"/>
      <c r="AO57" s="52">
        <f t="shared" si="8"/>
        <v>0.5746678058579644</v>
      </c>
      <c r="AP57" s="52">
        <f t="shared" si="9"/>
        <v>45.54587668195002</v>
      </c>
      <c r="AQ57" s="47">
        <f t="shared" si="10"/>
        <v>8.4551489435727867E-3</v>
      </c>
      <c r="AR57" s="47">
        <f t="shared" si="11"/>
        <v>0.10146178732287345</v>
      </c>
      <c r="AS57" s="47">
        <f t="shared" si="5"/>
        <v>61.751917077767118</v>
      </c>
      <c r="AT57" s="52">
        <f t="shared" si="12"/>
        <v>77.245416490311314</v>
      </c>
      <c r="AU57" s="53"/>
      <c r="AV57" s="53"/>
      <c r="AW57" s="53"/>
      <c r="AX57" s="53"/>
      <c r="AY57" s="54">
        <f t="shared" si="13"/>
        <v>13.51</v>
      </c>
      <c r="AZ57" s="57">
        <f t="shared" si="14"/>
        <v>5.7176474086092757</v>
      </c>
      <c r="BA57" s="57">
        <f t="shared" si="15"/>
        <v>5717.6474086092758</v>
      </c>
    </row>
    <row r="58" spans="1:53" x14ac:dyDescent="0.25">
      <c r="A58" s="1" t="s">
        <v>873</v>
      </c>
      <c r="J58" t="str">
        <f t="shared" si="16"/>
        <v xml:space="preserve">         1.3        0.10      0.1853      0.1305      0.0694       0.001       0.024       0.040              </v>
      </c>
      <c r="S58">
        <v>1.3</v>
      </c>
      <c r="T58">
        <v>0.1</v>
      </c>
      <c r="U58">
        <v>0.18529999999999999</v>
      </c>
      <c r="V58">
        <v>0.1305</v>
      </c>
      <c r="W58">
        <v>6.9400000000000003E-2</v>
      </c>
      <c r="X58">
        <v>1E-3</v>
      </c>
      <c r="Y58">
        <v>2.4E-2</v>
      </c>
      <c r="Z58">
        <v>0.04</v>
      </c>
      <c r="AF58">
        <f t="shared" si="17"/>
        <v>1.1185714285714288E-2</v>
      </c>
      <c r="AG58">
        <f t="shared" si="18"/>
        <v>2.3824555860345559E-3</v>
      </c>
      <c r="AL58" s="44">
        <f t="shared" si="6"/>
        <v>0.64285714285714302</v>
      </c>
      <c r="AM58" s="45">
        <f t="shared" si="7"/>
        <v>62.5</v>
      </c>
      <c r="AN58" s="46"/>
      <c r="AO58" s="52">
        <f t="shared" si="8"/>
        <v>0.53416812950868264</v>
      </c>
      <c r="AP58" s="52">
        <f t="shared" si="9"/>
        <v>43.531542021447379</v>
      </c>
      <c r="AQ58" s="47">
        <f t="shared" si="10"/>
        <v>5.0267744180773023E-3</v>
      </c>
      <c r="AR58" s="47">
        <f t="shared" si="11"/>
        <v>6.0321293016927624E-2</v>
      </c>
      <c r="AS58" s="47">
        <f t="shared" si="5"/>
        <v>59.020845991116438</v>
      </c>
      <c r="AT58" s="52">
        <f t="shared" si="12"/>
        <v>73.829122170455562</v>
      </c>
      <c r="AU58" s="53"/>
      <c r="AV58" s="53"/>
      <c r="AW58" s="53"/>
      <c r="AX58" s="53"/>
      <c r="AY58" s="54">
        <f t="shared" si="13"/>
        <v>13.51</v>
      </c>
      <c r="AZ58" s="57">
        <f t="shared" si="14"/>
        <v>5.4647758823431207</v>
      </c>
      <c r="BA58" s="57">
        <f t="shared" si="15"/>
        <v>5464.7758823431204</v>
      </c>
    </row>
    <row r="59" spans="1:53" x14ac:dyDescent="0.25">
      <c r="A59" s="1" t="s">
        <v>874</v>
      </c>
      <c r="J59" t="str">
        <f t="shared" si="16"/>
        <v xml:space="preserve">         1.7        0.13      0.2416      0.1297      0.0705       0.001       0.024       0.040              </v>
      </c>
      <c r="S59">
        <v>1.7</v>
      </c>
      <c r="T59">
        <v>0.13</v>
      </c>
      <c r="U59">
        <v>0.24160000000000001</v>
      </c>
      <c r="V59">
        <v>0.12970000000000001</v>
      </c>
      <c r="W59">
        <v>7.0499999999999993E-2</v>
      </c>
      <c r="X59">
        <v>1E-3</v>
      </c>
      <c r="Y59">
        <v>2.4E-2</v>
      </c>
      <c r="Z59">
        <v>0.04</v>
      </c>
      <c r="AF59">
        <f t="shared" si="17"/>
        <v>1.1117142857142862E-2</v>
      </c>
      <c r="AG59">
        <f t="shared" si="18"/>
        <v>2.3971507631265188E-3</v>
      </c>
      <c r="AL59" s="11">
        <f t="shared" si="6"/>
        <v>0.66857142857142871</v>
      </c>
      <c r="AM59" s="12">
        <f t="shared" si="7"/>
        <v>65</v>
      </c>
      <c r="AO59" s="7">
        <f t="shared" si="8"/>
        <v>0.49247741871092793</v>
      </c>
      <c r="AP59" s="7">
        <f t="shared" si="9"/>
        <v>41.324403696633318</v>
      </c>
      <c r="AQ59" s="7">
        <f t="shared" si="10"/>
        <v>1.4110248154611037E-3</v>
      </c>
      <c r="AR59" s="7">
        <f t="shared" si="11"/>
        <v>1.6932297785533245E-2</v>
      </c>
      <c r="AS59" s="7">
        <f t="shared" si="5"/>
        <v>56.028368235888728</v>
      </c>
      <c r="AT59" s="7">
        <f t="shared" si="12"/>
        <v>70.085834488399456</v>
      </c>
      <c r="AY59" s="49">
        <f t="shared" si="13"/>
        <v>13.51</v>
      </c>
      <c r="AZ59">
        <f t="shared" si="14"/>
        <v>5.1877005542856738</v>
      </c>
      <c r="BA59">
        <f t="shared" si="15"/>
        <v>5187.7005542856741</v>
      </c>
    </row>
    <row r="60" spans="1:53" x14ac:dyDescent="0.25">
      <c r="A60" s="1" t="s">
        <v>875</v>
      </c>
      <c r="J60" t="str">
        <f t="shared" si="16"/>
        <v xml:space="preserve">         2.2        0.16      0.2952      0.1287      0.0716       0.001       0.024       0.039              </v>
      </c>
      <c r="S60">
        <v>2.2000000000000002</v>
      </c>
      <c r="T60">
        <v>0.16</v>
      </c>
      <c r="U60">
        <v>0.29520000000000002</v>
      </c>
      <c r="V60">
        <v>0.12870000000000001</v>
      </c>
      <c r="W60">
        <v>7.1599999999999997E-2</v>
      </c>
      <c r="X60">
        <v>1E-3</v>
      </c>
      <c r="Y60">
        <v>2.4E-2</v>
      </c>
      <c r="Z60">
        <v>3.9E-2</v>
      </c>
      <c r="AF60">
        <f t="shared" si="17"/>
        <v>1.1314285714285718E-2</v>
      </c>
      <c r="AG60">
        <f t="shared" si="18"/>
        <v>2.3553822271023448E-3</v>
      </c>
      <c r="AL60" s="11">
        <f t="shared" si="6"/>
        <v>0.69428571428571439</v>
      </c>
      <c r="AM60" s="12">
        <f t="shared" si="7"/>
        <v>67.5</v>
      </c>
      <c r="AO60" s="7">
        <f t="shared" si="8"/>
        <v>0.44973609500188083</v>
      </c>
      <c r="AP60" s="7">
        <f t="shared" si="9"/>
        <v>38.923124012673014</v>
      </c>
      <c r="AQ60" s="7">
        <f t="shared" si="10"/>
        <v>-2.3928042193025814E-3</v>
      </c>
      <c r="AR60" s="7">
        <f t="shared" si="11"/>
        <v>-2.8713650631630977E-2</v>
      </c>
      <c r="AS60" s="7">
        <f t="shared" si="5"/>
        <v>52.772670141417564</v>
      </c>
      <c r="AT60" s="7">
        <f t="shared" si="12"/>
        <v>66.013284725168177</v>
      </c>
      <c r="AY60" s="49">
        <f t="shared" si="13"/>
        <v>13.51</v>
      </c>
      <c r="AZ60">
        <f t="shared" si="14"/>
        <v>4.8862534955712933</v>
      </c>
      <c r="BA60">
        <f t="shared" si="15"/>
        <v>4886.2534955712936</v>
      </c>
    </row>
    <row r="61" spans="1:53" x14ac:dyDescent="0.25">
      <c r="A61" s="1" t="s">
        <v>876</v>
      </c>
      <c r="J61" t="str">
        <f t="shared" si="16"/>
        <v xml:space="preserve">         2.6        0.20      0.3460      0.1274      0.0726       0.001       0.025       0.039              </v>
      </c>
      <c r="S61">
        <v>2.6</v>
      </c>
      <c r="T61">
        <v>0.2</v>
      </c>
      <c r="U61">
        <v>0.34599999999999997</v>
      </c>
      <c r="V61">
        <v>0.12740000000000001</v>
      </c>
      <c r="W61">
        <v>7.2599999999999998E-2</v>
      </c>
      <c r="X61">
        <v>1E-3</v>
      </c>
      <c r="Y61">
        <v>2.5000000000000001E-2</v>
      </c>
      <c r="Z61">
        <v>3.9E-2</v>
      </c>
      <c r="AF61">
        <f t="shared" si="17"/>
        <v>1.1666666666666672E-2</v>
      </c>
      <c r="AG61">
        <f t="shared" si="18"/>
        <v>2.3794167396237968E-3</v>
      </c>
      <c r="AL61" s="11">
        <f t="shared" si="6"/>
        <v>0.7200000000000002</v>
      </c>
      <c r="AM61" s="12">
        <f t="shared" si="7"/>
        <v>70</v>
      </c>
      <c r="AO61" s="7">
        <f t="shared" si="8"/>
        <v>0.40609571950182871</v>
      </c>
      <c r="AP61" s="7">
        <f t="shared" si="9"/>
        <v>36.326937612598563</v>
      </c>
      <c r="AQ61" s="7">
        <f t="shared" si="10"/>
        <v>-6.3848099204093876E-3</v>
      </c>
      <c r="AR61" s="7">
        <f t="shared" si="11"/>
        <v>-7.6617719044912658E-2</v>
      </c>
      <c r="AS61" s="7">
        <f t="shared" si="5"/>
        <v>49.252714022988968</v>
      </c>
      <c r="AT61" s="7">
        <f t="shared" si="12"/>
        <v>61.610174841903834</v>
      </c>
      <c r="AY61" s="49">
        <f t="shared" si="13"/>
        <v>13.51</v>
      </c>
      <c r="AZ61">
        <f t="shared" si="14"/>
        <v>4.5603386263437331</v>
      </c>
      <c r="BA61">
        <f t="shared" si="15"/>
        <v>4560.3386263437333</v>
      </c>
    </row>
    <row r="62" spans="1:53" x14ac:dyDescent="0.25">
      <c r="A62" s="1" t="s">
        <v>877</v>
      </c>
      <c r="J62" t="str">
        <f t="shared" si="16"/>
        <v xml:space="preserve">         3.0        0.23      0.3942      0.1258      0.0734       0.001       0.025       0.038              </v>
      </c>
      <c r="S62">
        <v>3</v>
      </c>
      <c r="T62">
        <v>0.23</v>
      </c>
      <c r="U62">
        <v>0.39419999999999999</v>
      </c>
      <c r="V62">
        <v>0.1258</v>
      </c>
      <c r="W62">
        <v>7.3400000000000007E-2</v>
      </c>
      <c r="X62">
        <v>1E-3</v>
      </c>
      <c r="Y62">
        <v>2.5000000000000001E-2</v>
      </c>
      <c r="Z62">
        <v>3.7999999999999999E-2</v>
      </c>
      <c r="AF62">
        <f t="shared" si="17"/>
        <v>1.1823308270676694E-2</v>
      </c>
      <c r="AG62">
        <f t="shared" si="18"/>
        <v>2.3478929354422418E-3</v>
      </c>
      <c r="AL62" s="11">
        <f t="shared" si="6"/>
        <v>0.74571428571428588</v>
      </c>
      <c r="AM62" s="12">
        <f t="shared" si="7"/>
        <v>72.5</v>
      </c>
      <c r="AO62" s="7">
        <f t="shared" si="8"/>
        <v>0.36171899291416748</v>
      </c>
      <c r="AP62" s="7">
        <f t="shared" si="9"/>
        <v>33.535651477308882</v>
      </c>
      <c r="AQ62" s="7">
        <f t="shared" si="10"/>
        <v>-1.056448240122374E-2</v>
      </c>
      <c r="AR62" s="7">
        <f t="shared" si="11"/>
        <v>-0.12677378881468487</v>
      </c>
      <c r="AS62" s="7">
        <f t="shared" si="5"/>
        <v>45.468238181841329</v>
      </c>
      <c r="AT62" s="7">
        <f t="shared" si="12"/>
        <v>56.876177479865319</v>
      </c>
      <c r="AY62" s="49">
        <f t="shared" si="13"/>
        <v>13.51</v>
      </c>
      <c r="AZ62">
        <f t="shared" si="14"/>
        <v>4.20993171575613</v>
      </c>
      <c r="BA62">
        <f t="shared" si="15"/>
        <v>4209.93171575613</v>
      </c>
    </row>
    <row r="63" spans="1:53" x14ac:dyDescent="0.25">
      <c r="A63" s="1" t="s">
        <v>878</v>
      </c>
      <c r="J63" t="str">
        <f t="shared" si="16"/>
        <v xml:space="preserve">         3.5        0.26      0.4395      0.1238      0.0740       0.001       0.025       0.038              </v>
      </c>
      <c r="S63">
        <v>3.5</v>
      </c>
      <c r="T63">
        <v>0.26</v>
      </c>
      <c r="U63">
        <v>0.4395</v>
      </c>
      <c r="V63">
        <v>0.12379999999999999</v>
      </c>
      <c r="W63">
        <v>7.3999999999999996E-2</v>
      </c>
      <c r="X63">
        <v>1E-3</v>
      </c>
      <c r="Y63">
        <v>2.5000000000000001E-2</v>
      </c>
      <c r="Z63">
        <v>3.7999999999999999E-2</v>
      </c>
      <c r="AF63">
        <f t="shared" si="17"/>
        <v>1.1635338345864662E-2</v>
      </c>
      <c r="AG63">
        <f t="shared" si="18"/>
        <v>2.385823354431616E-3</v>
      </c>
      <c r="AL63" s="11">
        <f t="shared" si="6"/>
        <v>0.77142857142857157</v>
      </c>
      <c r="AM63" s="12">
        <f t="shared" si="7"/>
        <v>75</v>
      </c>
      <c r="AO63" s="7">
        <f t="shared" si="8"/>
        <v>0.3167797555253995</v>
      </c>
      <c r="AP63" s="7">
        <f t="shared" si="9"/>
        <v>30.549644925569826</v>
      </c>
      <c r="AQ63" s="7">
        <f t="shared" si="10"/>
        <v>-1.4930704654278934E-2</v>
      </c>
      <c r="AR63" s="7">
        <f t="shared" si="11"/>
        <v>-0.17916845585134722</v>
      </c>
      <c r="AS63" s="7">
        <f t="shared" si="5"/>
        <v>41.419756905165528</v>
      </c>
      <c r="AT63" s="7">
        <f t="shared" si="12"/>
        <v>51.811935960428471</v>
      </c>
      <c r="AY63" s="49">
        <f t="shared" si="13"/>
        <v>13.51</v>
      </c>
      <c r="AZ63">
        <f t="shared" si="14"/>
        <v>3.8350803819710193</v>
      </c>
      <c r="BA63">
        <f t="shared" si="15"/>
        <v>3835.0803819710195</v>
      </c>
    </row>
    <row r="64" spans="1:53" x14ac:dyDescent="0.25">
      <c r="A64" s="1" t="s">
        <v>879</v>
      </c>
      <c r="J64" t="str">
        <f t="shared" si="16"/>
        <v xml:space="preserve">         3.9        0.30      0.4821      0.1212      0.0743       0.001       0.025       0.037              </v>
      </c>
      <c r="S64">
        <v>3.9</v>
      </c>
      <c r="T64">
        <v>0.3</v>
      </c>
      <c r="U64">
        <v>0.48209999999999997</v>
      </c>
      <c r="V64">
        <v>0.1212</v>
      </c>
      <c r="W64">
        <v>7.4300000000000005E-2</v>
      </c>
      <c r="X64">
        <v>1E-3</v>
      </c>
      <c r="Y64">
        <v>2.5000000000000001E-2</v>
      </c>
      <c r="Z64">
        <v>3.6999999999999998E-2</v>
      </c>
      <c r="AF64">
        <f t="shared" si="17"/>
        <v>1.1698841698841701E-2</v>
      </c>
      <c r="AG64">
        <f t="shared" si="18"/>
        <v>2.3728726891847881E-3</v>
      </c>
      <c r="AL64" s="11">
        <f t="shared" si="6"/>
        <v>0.79714285714285738</v>
      </c>
      <c r="AM64" s="12">
        <f t="shared" si="7"/>
        <v>77.5</v>
      </c>
      <c r="AO64" s="7">
        <f t="shared" si="8"/>
        <v>0.27146298720513451</v>
      </c>
      <c r="AP64" s="7">
        <f t="shared" si="9"/>
        <v>27.369869614014071</v>
      </c>
      <c r="AQ64" s="7">
        <f t="shared" si="10"/>
        <v>-1.9481752551277168E-2</v>
      </c>
      <c r="AR64" s="7">
        <f t="shared" si="11"/>
        <v>-0.23378103061532601</v>
      </c>
      <c r="AS64" s="7">
        <f t="shared" si="5"/>
        <v>37.108560466104798</v>
      </c>
      <c r="AT64" s="7">
        <f t="shared" si="12"/>
        <v>46.419064285085909</v>
      </c>
      <c r="AY64" s="49">
        <f t="shared" si="13"/>
        <v>13.51</v>
      </c>
      <c r="AZ64">
        <f t="shared" si="14"/>
        <v>3.4359040921603192</v>
      </c>
      <c r="BA64">
        <f t="shared" si="15"/>
        <v>3435.9040921603191</v>
      </c>
    </row>
    <row r="65" spans="1:53" x14ac:dyDescent="0.25">
      <c r="A65" s="1" t="s">
        <v>880</v>
      </c>
      <c r="J65" t="str">
        <f t="shared" si="16"/>
        <v xml:space="preserve">         4.4        0.33      0.5219      0.1182      0.0744       0.001       0.025       0.036              </v>
      </c>
      <c r="S65">
        <v>4.4000000000000004</v>
      </c>
      <c r="T65">
        <v>0.33</v>
      </c>
      <c r="U65">
        <v>0.52190000000000003</v>
      </c>
      <c r="V65">
        <v>0.1182</v>
      </c>
      <c r="W65">
        <v>7.4399999999999994E-2</v>
      </c>
      <c r="X65">
        <v>1E-3</v>
      </c>
      <c r="Y65">
        <v>2.5000000000000001E-2</v>
      </c>
      <c r="Z65">
        <v>3.5999999999999997E-2</v>
      </c>
      <c r="AF65">
        <f t="shared" si="17"/>
        <v>1.1726190476190477E-2</v>
      </c>
      <c r="AG65">
        <f t="shared" si="18"/>
        <v>2.3673384820622552E-3</v>
      </c>
      <c r="AL65" s="11">
        <f t="shared" si="6"/>
        <v>0.82285714285714306</v>
      </c>
      <c r="AM65" s="12">
        <f t="shared" si="7"/>
        <v>80</v>
      </c>
      <c r="AO65" s="7">
        <f t="shared" si="8"/>
        <v>0.2259648074060904</v>
      </c>
      <c r="AP65" s="7">
        <f t="shared" si="9"/>
        <v>23.997849537141196</v>
      </c>
      <c r="AQ65" s="7">
        <f t="shared" si="10"/>
        <v>-2.421529484308934E-2</v>
      </c>
      <c r="AR65" s="7">
        <f t="shared" si="11"/>
        <v>-0.29058353811707205</v>
      </c>
      <c r="AS65" s="7">
        <f t="shared" si="5"/>
        <v>32.536715123754817</v>
      </c>
      <c r="AT65" s="7">
        <f t="shared" si="12"/>
        <v>40.700147135447125</v>
      </c>
      <c r="AY65" s="49">
        <f t="shared" si="13"/>
        <v>13.51</v>
      </c>
      <c r="AZ65">
        <f t="shared" si="14"/>
        <v>3.0125941625053385</v>
      </c>
      <c r="BA65">
        <f t="shared" si="15"/>
        <v>3012.5941625053383</v>
      </c>
    </row>
    <row r="66" spans="1:53" x14ac:dyDescent="0.25">
      <c r="A66" s="1" t="s">
        <v>881</v>
      </c>
      <c r="J66" t="str">
        <f t="shared" si="16"/>
        <v xml:space="preserve">         4.8        0.36      0.5589      0.1148      0.0742       0.001       0.025       0.035              </v>
      </c>
      <c r="S66">
        <v>4.8</v>
      </c>
      <c r="T66">
        <v>0.36</v>
      </c>
      <c r="U66">
        <v>0.55889999999999995</v>
      </c>
      <c r="V66">
        <v>0.1148</v>
      </c>
      <c r="W66">
        <v>7.4200000000000002E-2</v>
      </c>
      <c r="X66">
        <v>1E-3</v>
      </c>
      <c r="Y66">
        <v>2.5000000000000001E-2</v>
      </c>
      <c r="Z66">
        <v>3.5000000000000003E-2</v>
      </c>
      <c r="AF66">
        <f t="shared" si="17"/>
        <v>1.1714285714285715E-2</v>
      </c>
      <c r="AG66">
        <f t="shared" si="18"/>
        <v>2.3697443138529692E-3</v>
      </c>
      <c r="AL66" s="11">
        <f t="shared" si="6"/>
        <v>0.84857142857142875</v>
      </c>
      <c r="AM66" s="12">
        <f t="shared" si="7"/>
        <v>82.5</v>
      </c>
      <c r="AO66" s="7">
        <f t="shared" si="8"/>
        <v>0.18049247516409248</v>
      </c>
      <c r="AP66" s="7">
        <f t="shared" si="9"/>
        <v>20.435681027317671</v>
      </c>
      <c r="AQ66" s="7">
        <f t="shared" si="10"/>
        <v>-2.912839315975525E-2</v>
      </c>
      <c r="AR66" s="7">
        <f t="shared" si="11"/>
        <v>-0.34954071791706298</v>
      </c>
      <c r="AS66" s="7">
        <f t="shared" si="5"/>
        <v>27.707063123163717</v>
      </c>
      <c r="AT66" s="7">
        <f t="shared" si="12"/>
        <v>34.658739873238538</v>
      </c>
      <c r="AY66" s="49">
        <f t="shared" si="13"/>
        <v>13.51</v>
      </c>
      <c r="AZ66">
        <f t="shared" si="14"/>
        <v>2.5654137581967831</v>
      </c>
      <c r="BA66">
        <f>AZ66*1000</f>
        <v>2565.413758196783</v>
      </c>
    </row>
    <row r="67" spans="1:53" x14ac:dyDescent="0.25">
      <c r="A67" s="1" t="s">
        <v>882</v>
      </c>
      <c r="J67" t="str">
        <f t="shared" si="16"/>
        <v xml:space="preserve">         5.2        0.39      0.5929      0.1108      0.0736       0.001       0.025       0.034              </v>
      </c>
      <c r="S67">
        <v>5.2</v>
      </c>
      <c r="T67">
        <v>0.39</v>
      </c>
      <c r="U67">
        <v>0.59289999999999998</v>
      </c>
      <c r="V67">
        <v>0.1108</v>
      </c>
      <c r="W67">
        <v>7.3599999999999999E-2</v>
      </c>
      <c r="X67">
        <v>1E-3</v>
      </c>
      <c r="Y67">
        <v>2.5000000000000001E-2</v>
      </c>
      <c r="Z67">
        <v>3.4000000000000002E-2</v>
      </c>
      <c r="AF67">
        <f t="shared" si="17"/>
        <v>1.1638655462184873E-2</v>
      </c>
      <c r="AG67">
        <f t="shared" si="18"/>
        <v>2.3851433743762016E-3</v>
      </c>
      <c r="AL67" s="11">
        <f t="shared" si="6"/>
        <v>0.87428571428571444</v>
      </c>
      <c r="AM67" s="12">
        <f t="shared" si="7"/>
        <v>85</v>
      </c>
      <c r="AO67" s="7">
        <f t="shared" si="8"/>
        <v>0.13526438909807287</v>
      </c>
      <c r="AP67" s="7">
        <f t="shared" si="9"/>
        <v>16.686032754776793</v>
      </c>
      <c r="AQ67" s="7">
        <f t="shared" si="10"/>
        <v>-3.4217502010483618E-2</v>
      </c>
      <c r="AR67" s="7">
        <f t="shared" si="11"/>
        <v>-0.41061002412580339</v>
      </c>
      <c r="AS67" s="7">
        <f t="shared" si="5"/>
        <v>22.623222695331965</v>
      </c>
      <c r="AT67" s="7">
        <f t="shared" si="12"/>
        <v>28.299368540303302</v>
      </c>
      <c r="AY67" s="49">
        <f t="shared" si="13"/>
        <v>13.51</v>
      </c>
      <c r="AZ67">
        <f t="shared" si="14"/>
        <v>2.0946978934347373</v>
      </c>
      <c r="BA67">
        <f t="shared" si="15"/>
        <v>2094.6978934347371</v>
      </c>
    </row>
    <row r="68" spans="1:53" x14ac:dyDescent="0.25">
      <c r="A68" s="1" t="s">
        <v>883</v>
      </c>
      <c r="J68" t="str">
        <f t="shared" si="16"/>
        <v xml:space="preserve">         5.7        0.43      0.6241      0.1063      0.0727       0.001       0.025       0.033              </v>
      </c>
      <c r="S68">
        <v>5.7</v>
      </c>
      <c r="T68">
        <v>0.43</v>
      </c>
      <c r="U68">
        <v>0.62409999999999999</v>
      </c>
      <c r="V68">
        <v>0.10630000000000001</v>
      </c>
      <c r="W68">
        <v>7.2700000000000001E-2</v>
      </c>
      <c r="X68">
        <v>1E-3</v>
      </c>
      <c r="Y68">
        <v>2.5000000000000001E-2</v>
      </c>
      <c r="Z68">
        <v>3.3000000000000002E-2</v>
      </c>
      <c r="AF68">
        <f t="shared" si="17"/>
        <v>1.1504329004329008E-2</v>
      </c>
      <c r="AG68">
        <f t="shared" si="18"/>
        <v>2.4129927049054123E-3</v>
      </c>
      <c r="AL68" s="11">
        <f t="shared" si="6"/>
        <v>0.90000000000000024</v>
      </c>
      <c r="AM68" s="12">
        <f t="shared" si="7"/>
        <v>87.5</v>
      </c>
      <c r="AO68" s="7">
        <f t="shared" si="8"/>
        <v>9.0510087410071105E-2</v>
      </c>
      <c r="AP68" s="7">
        <f t="shared" si="9"/>
        <v>12.752145727618737</v>
      </c>
      <c r="AQ68" s="7">
        <f t="shared" si="10"/>
        <v>-3.9478468783651938E-2</v>
      </c>
      <c r="AR68" s="7">
        <f t="shared" si="11"/>
        <v>-0.47374162540382325</v>
      </c>
      <c r="AS68" s="7">
        <f t="shared" si="5"/>
        <v>17.289588057212459</v>
      </c>
      <c r="AT68" s="7">
        <f t="shared" si="12"/>
        <v>21.627529858601445</v>
      </c>
      <c r="AY68" s="49">
        <f t="shared" si="13"/>
        <v>13.51</v>
      </c>
      <c r="AZ68">
        <f t="shared" si="14"/>
        <v>1.6008534314286784</v>
      </c>
      <c r="BA68">
        <f t="shared" si="15"/>
        <v>1600.8534314286785</v>
      </c>
    </row>
    <row r="69" spans="1:53" x14ac:dyDescent="0.25">
      <c r="A69" s="1" t="s">
        <v>884</v>
      </c>
      <c r="J69" t="str">
        <f t="shared" si="16"/>
        <v xml:space="preserve">         6.1        0.46      0.6522      0.1013      0.0714       0.001       0.024       0.031              </v>
      </c>
      <c r="S69">
        <v>6.1</v>
      </c>
      <c r="T69">
        <v>0.46</v>
      </c>
      <c r="U69">
        <v>0.6522</v>
      </c>
      <c r="V69">
        <v>0.1013</v>
      </c>
      <c r="W69">
        <v>7.1400000000000005E-2</v>
      </c>
      <c r="X69">
        <v>1E-3</v>
      </c>
      <c r="Y69">
        <v>2.4E-2</v>
      </c>
      <c r="Z69">
        <v>3.1E-2</v>
      </c>
      <c r="AF69">
        <f t="shared" si="17"/>
        <v>1.1203686635944702E-2</v>
      </c>
      <c r="AG69">
        <f t="shared" si="18"/>
        <v>2.3786337791961488E-3</v>
      </c>
      <c r="AL69" s="11">
        <f t="shared" si="6"/>
        <v>0.92571428571428593</v>
      </c>
      <c r="AM69" s="12">
        <f t="shared" si="7"/>
        <v>90</v>
      </c>
      <c r="AO69" s="7">
        <f t="shared" si="8"/>
        <v>4.6470247885235121E-2</v>
      </c>
      <c r="AP69" s="7">
        <f t="shared" si="9"/>
        <v>8.6378332918106171</v>
      </c>
      <c r="AQ69" s="7">
        <f t="shared" si="10"/>
        <v>-4.4906533746806497E-2</v>
      </c>
      <c r="AR69" s="7">
        <f t="shared" si="11"/>
        <v>-0.53887840496167794</v>
      </c>
      <c r="AS69" s="7">
        <f t="shared" si="5"/>
        <v>11.711329411710604</v>
      </c>
      <c r="AT69" s="7">
        <f t="shared" si="12"/>
        <v>14.649691230209969</v>
      </c>
      <c r="AY69" s="49">
        <f t="shared" si="13"/>
        <v>13.51</v>
      </c>
      <c r="AZ69">
        <f t="shared" si="14"/>
        <v>1.0843590843974811</v>
      </c>
      <c r="BA69">
        <f t="shared" si="15"/>
        <v>1084.3590843974812</v>
      </c>
    </row>
    <row r="70" spans="1:53" x14ac:dyDescent="0.25">
      <c r="A70" s="1" t="s">
        <v>885</v>
      </c>
      <c r="J70" t="str">
        <f t="shared" si="16"/>
        <v xml:space="preserve">         6.5        0.49      0.6773      0.0958      0.0697       0.001       0.024       0.029              </v>
      </c>
      <c r="S70">
        <v>6.5</v>
      </c>
      <c r="T70">
        <v>0.49</v>
      </c>
      <c r="U70">
        <v>0.67730000000000001</v>
      </c>
      <c r="V70">
        <v>9.5799999999999996E-2</v>
      </c>
      <c r="W70">
        <v>6.9699999999999998E-2</v>
      </c>
      <c r="X70">
        <v>1E-3</v>
      </c>
      <c r="Y70">
        <v>2.4E-2</v>
      </c>
      <c r="Z70">
        <v>2.9000000000000001E-2</v>
      </c>
      <c r="AF70">
        <f t="shared" si="17"/>
        <v>1.1326108374384237E-2</v>
      </c>
      <c r="AG70">
        <f t="shared" si="18"/>
        <v>2.3529235817713406E-3</v>
      </c>
      <c r="AL70" s="11">
        <f t="shared" si="6"/>
        <v>0.95142857142857162</v>
      </c>
      <c r="AM70" s="12">
        <f t="shared" si="7"/>
        <v>92.5</v>
      </c>
      <c r="AO70" s="7">
        <f t="shared" si="8"/>
        <v>3.3966878918196891E-3</v>
      </c>
      <c r="AP70" s="7">
        <f t="shared" si="9"/>
        <v>4.3474811311863748</v>
      </c>
      <c r="AQ70" s="7">
        <f t="shared" si="10"/>
        <v>-5.0496330046662485E-2</v>
      </c>
      <c r="AR70" s="7">
        <f t="shared" si="11"/>
        <v>-0.60595596055994982</v>
      </c>
      <c r="AS70" s="7">
        <f t="shared" si="5"/>
        <v>5.8943929476841506</v>
      </c>
      <c r="AT70" s="7">
        <f t="shared" si="12"/>
        <v>7.3732907373226393</v>
      </c>
      <c r="AY70" s="49">
        <f t="shared" si="13"/>
        <v>13.51</v>
      </c>
      <c r="AZ70">
        <f t="shared" si="14"/>
        <v>0.54576541356940333</v>
      </c>
      <c r="BA70">
        <f t="shared" si="15"/>
        <v>545.76541356940334</v>
      </c>
    </row>
    <row r="71" spans="1:53" x14ac:dyDescent="0.25">
      <c r="A71" s="1" t="s">
        <v>886</v>
      </c>
      <c r="J71" t="str">
        <f t="shared" si="16"/>
        <v xml:space="preserve">         7.0        0.53      0.6992      0.0899      0.0675       0.001       0.023       0.027              </v>
      </c>
      <c r="S71">
        <v>7</v>
      </c>
      <c r="T71">
        <v>0.53</v>
      </c>
      <c r="U71">
        <v>0.69920000000000004</v>
      </c>
      <c r="V71">
        <v>8.9899999999999994E-2</v>
      </c>
      <c r="W71">
        <v>6.7500000000000004E-2</v>
      </c>
      <c r="X71">
        <v>1E-3</v>
      </c>
      <c r="Y71">
        <v>2.3E-2</v>
      </c>
      <c r="Z71">
        <v>2.7E-2</v>
      </c>
      <c r="AF71">
        <f t="shared" si="17"/>
        <v>1.0940211640211642E-2</v>
      </c>
      <c r="AG71">
        <f t="shared" si="18"/>
        <v>2.334422207283859E-3</v>
      </c>
      <c r="AL71" s="11">
        <f t="shared" si="6"/>
        <v>0.97714285714285731</v>
      </c>
      <c r="AM71" s="12">
        <f t="shared" si="7"/>
        <v>95</v>
      </c>
      <c r="AO71" s="7">
        <f t="shared" si="8"/>
        <v>-3.8447635618813113E-2</v>
      </c>
      <c r="AP71" s="7">
        <f t="shared" si="9"/>
        <v>-0.11395273255314503</v>
      </c>
      <c r="AQ71" s="7">
        <f t="shared" si="10"/>
        <v>-5.6241883709103914E-2</v>
      </c>
      <c r="AR71" s="7">
        <f t="shared" si="11"/>
        <v>-0.67490260450924699</v>
      </c>
      <c r="AS71" s="7">
        <f t="shared" si="5"/>
        <v>-0.15449916005668834</v>
      </c>
      <c r="AT71" s="7">
        <f t="shared" si="12"/>
        <v>-0.19326285774986815</v>
      </c>
      <c r="AY71" s="49">
        <f t="shared" si="13"/>
        <v>13.51</v>
      </c>
      <c r="AZ71">
        <f t="shared" si="14"/>
        <v>-1.4305170817902899E-2</v>
      </c>
      <c r="BA71">
        <f t="shared" si="15"/>
        <v>-14.3051708179029</v>
      </c>
    </row>
    <row r="72" spans="1:53" x14ac:dyDescent="0.25">
      <c r="A72" s="1" t="s">
        <v>887</v>
      </c>
      <c r="J72" t="str">
        <f t="shared" si="16"/>
        <v xml:space="preserve">         7.4        0.56      0.7180      0.0838      0.0651       0.001       0.022       0.026              </v>
      </c>
      <c r="S72">
        <v>7.4</v>
      </c>
      <c r="T72">
        <v>0.56000000000000005</v>
      </c>
      <c r="U72">
        <v>0.71799999999999997</v>
      </c>
      <c r="V72">
        <v>8.3799999999999999E-2</v>
      </c>
      <c r="W72">
        <v>6.5100000000000005E-2</v>
      </c>
      <c r="X72">
        <v>1E-3</v>
      </c>
      <c r="Y72">
        <v>2.1999999999999999E-2</v>
      </c>
      <c r="Z72">
        <v>2.5999999999999999E-2</v>
      </c>
      <c r="AF72">
        <f t="shared" si="17"/>
        <v>1.0129670329670331E-2</v>
      </c>
      <c r="AG72">
        <f t="shared" si="18"/>
        <v>2.4115966000642147E-3</v>
      </c>
      <c r="AL72" s="11">
        <f t="shared" si="6"/>
        <v>1.0028571428571431</v>
      </c>
      <c r="AM72" s="12">
        <f t="shared" si="7"/>
        <v>97.5</v>
      </c>
      <c r="AO72" s="7">
        <f t="shared" si="8"/>
        <v>-7.8788626112193755E-2</v>
      </c>
      <c r="AP72" s="7">
        <f t="shared" si="9"/>
        <v>-4.740937939840328</v>
      </c>
      <c r="AQ72" s="7">
        <f t="shared" si="10"/>
        <v>-6.2136613639183623E-2</v>
      </c>
      <c r="AR72" s="7">
        <f t="shared" si="11"/>
        <v>-0.74563936367020345</v>
      </c>
      <c r="AS72" s="7">
        <f t="shared" si="5"/>
        <v>-6.4278487507494297</v>
      </c>
      <c r="AT72" s="7">
        <f t="shared" si="12"/>
        <v>-8.0405901125802046</v>
      </c>
      <c r="AY72" s="49">
        <f t="shared" si="13"/>
        <v>13.51</v>
      </c>
      <c r="AZ72">
        <f t="shared" si="14"/>
        <v>-0.59515840951740973</v>
      </c>
      <c r="BA72">
        <f t="shared" si="15"/>
        <v>-595.15840951740972</v>
      </c>
    </row>
    <row r="73" spans="1:53" ht="15.75" thickBot="1" x14ac:dyDescent="0.3">
      <c r="A73" s="1" t="s">
        <v>888</v>
      </c>
      <c r="J73" t="str">
        <f t="shared" si="16"/>
        <v xml:space="preserve">         7.8        0.59      0.7339      0.0776      0.0625       0.001       0.021       0.024              </v>
      </c>
      <c r="S73">
        <v>7.8</v>
      </c>
      <c r="T73">
        <v>0.59</v>
      </c>
      <c r="U73">
        <v>0.7339</v>
      </c>
      <c r="V73">
        <v>7.7600000000000002E-2</v>
      </c>
      <c r="W73">
        <v>6.25E-2</v>
      </c>
      <c r="X73">
        <v>1E-3</v>
      </c>
      <c r="Y73">
        <v>2.1000000000000001E-2</v>
      </c>
      <c r="Z73">
        <v>2.4E-2</v>
      </c>
      <c r="AF73">
        <f t="shared" si="17"/>
        <v>9.700000000000002E-3</v>
      </c>
      <c r="AG73">
        <f t="shared" si="18"/>
        <v>2.403946809104455E-3</v>
      </c>
      <c r="AL73" s="11">
        <f t="shared" si="6"/>
        <v>1.0285714285714289</v>
      </c>
      <c r="AM73" s="15">
        <f t="shared" si="7"/>
        <v>100</v>
      </c>
      <c r="AO73" s="7">
        <f t="shared" si="8"/>
        <v>-0.11734104747074464</v>
      </c>
      <c r="AP73" s="7">
        <f t="shared" si="9"/>
        <v>-9.527371793240544</v>
      </c>
      <c r="AQ73" s="7">
        <f t="shared" si="10"/>
        <v>-6.8173331621123365E-2</v>
      </c>
      <c r="AR73" s="7">
        <f t="shared" si="11"/>
        <v>-0.81807997945348032</v>
      </c>
      <c r="AS73" s="7">
        <f t="shared" si="5"/>
        <v>-12.91738167767898</v>
      </c>
      <c r="AT73" s="7">
        <f t="shared" si="12"/>
        <v>-16.158340904623923</v>
      </c>
      <c r="AY73" s="49">
        <f t="shared" si="13"/>
        <v>13.51</v>
      </c>
      <c r="AZ73">
        <f t="shared" si="14"/>
        <v>-1.1960281942726811</v>
      </c>
      <c r="BA73">
        <f t="shared" si="15"/>
        <v>-1196.028194272681</v>
      </c>
    </row>
    <row r="74" spans="1:53" x14ac:dyDescent="0.25">
      <c r="A74" s="1" t="s">
        <v>889</v>
      </c>
      <c r="J74" t="str">
        <f t="shared" si="16"/>
        <v xml:space="preserve">         8.3        0.62      0.7471      0.0712      0.0595       0.001       0.020       0.022              </v>
      </c>
      <c r="S74">
        <v>8.3000000000000007</v>
      </c>
      <c r="T74">
        <v>0.62</v>
      </c>
      <c r="U74">
        <v>0.74709999999999999</v>
      </c>
      <c r="V74">
        <v>7.1199999999999999E-2</v>
      </c>
      <c r="W74">
        <v>5.9499999999999997E-2</v>
      </c>
      <c r="X74">
        <v>1E-3</v>
      </c>
      <c r="Y74">
        <v>0.02</v>
      </c>
      <c r="Z74">
        <v>2.1999999999999999E-2</v>
      </c>
      <c r="AF74">
        <f t="shared" si="17"/>
        <v>9.2467532467532514E-3</v>
      </c>
      <c r="AG74">
        <f t="shared" si="18"/>
        <v>2.4016959225790758E-3</v>
      </c>
      <c r="AY74" s="49"/>
    </row>
    <row r="75" spans="1:53" x14ac:dyDescent="0.25">
      <c r="A75" s="1" t="s">
        <v>890</v>
      </c>
      <c r="J75" t="str">
        <f t="shared" si="16"/>
        <v xml:space="preserve">         8.7        0.66      0.7579      0.0647      0.0561       0.001       0.019       0.020              </v>
      </c>
      <c r="S75">
        <v>8.6999999999999993</v>
      </c>
      <c r="T75">
        <v>0.66</v>
      </c>
      <c r="U75">
        <v>0.75790000000000002</v>
      </c>
      <c r="V75">
        <v>6.4699999999999994E-2</v>
      </c>
      <c r="W75">
        <v>5.6099999999999997E-2</v>
      </c>
      <c r="X75">
        <v>1E-3</v>
      </c>
      <c r="Y75">
        <v>1.9E-2</v>
      </c>
      <c r="Z75">
        <v>0.02</v>
      </c>
      <c r="AF75">
        <f t="shared" si="17"/>
        <v>8.7807142857142858E-3</v>
      </c>
      <c r="AG75">
        <f t="shared" si="18"/>
        <v>2.4027082996716347E-3</v>
      </c>
    </row>
    <row r="76" spans="1:53" x14ac:dyDescent="0.25">
      <c r="A76" s="1" t="s">
        <v>891</v>
      </c>
      <c r="J76" t="str">
        <f t="shared" si="16"/>
        <v xml:space="preserve">         9.1        0.69      0.7665      0.0581      0.0523       0.001       0.018       0.018              </v>
      </c>
      <c r="S76">
        <v>9.1</v>
      </c>
      <c r="T76">
        <v>0.69</v>
      </c>
      <c r="U76">
        <v>0.76649999999999996</v>
      </c>
      <c r="V76">
        <v>5.8099999999999999E-2</v>
      </c>
      <c r="W76">
        <v>5.2299999999999999E-2</v>
      </c>
      <c r="X76">
        <v>1E-3</v>
      </c>
      <c r="Y76">
        <v>1.7999999999999999E-2</v>
      </c>
      <c r="Z76">
        <v>1.7999999999999999E-2</v>
      </c>
      <c r="AF76">
        <f t="shared" si="17"/>
        <v>8.3000000000000018E-3</v>
      </c>
      <c r="AG76">
        <f t="shared" si="18"/>
        <v>2.4080844111855296E-3</v>
      </c>
    </row>
    <row r="77" spans="1:53" x14ac:dyDescent="0.25">
      <c r="A77" s="1" t="s">
        <v>892</v>
      </c>
      <c r="J77" t="str">
        <f t="shared" si="16"/>
        <v xml:space="preserve">         9.6        0.72      0.7728      0.0513      0.0480       0.001       0.016       0.016              </v>
      </c>
      <c r="S77">
        <v>9.6</v>
      </c>
      <c r="T77">
        <v>0.72</v>
      </c>
      <c r="U77">
        <v>0.77280000000000004</v>
      </c>
      <c r="V77">
        <v>5.1299999999999998E-2</v>
      </c>
      <c r="W77">
        <v>4.8000000000000001E-2</v>
      </c>
      <c r="X77">
        <v>1E-3</v>
      </c>
      <c r="Y77">
        <v>1.6E-2</v>
      </c>
      <c r="Z77">
        <v>1.6E-2</v>
      </c>
      <c r="AF77">
        <f t="shared" si="17"/>
        <v>7.32857142857143E-3</v>
      </c>
      <c r="AG77">
        <f t="shared" si="18"/>
        <v>2.4242530524562146E-3</v>
      </c>
    </row>
    <row r="78" spans="1:53" x14ac:dyDescent="0.25">
      <c r="A78" s="1" t="s">
        <v>893</v>
      </c>
      <c r="J78" t="str">
        <f t="shared" si="16"/>
        <v xml:space="preserve">        10.0        0.76      0.7761      0.0443      0.0431       0.000       0.015       0.014              </v>
      </c>
      <c r="S78">
        <v>10</v>
      </c>
      <c r="T78">
        <v>0.76</v>
      </c>
      <c r="U78">
        <v>0.77610000000000001</v>
      </c>
      <c r="V78">
        <v>4.4299999999999999E-2</v>
      </c>
      <c r="W78">
        <v>4.3099999999999999E-2</v>
      </c>
      <c r="X78">
        <v>0</v>
      </c>
      <c r="Y78">
        <v>1.4999999999999999E-2</v>
      </c>
      <c r="Z78">
        <v>1.4E-2</v>
      </c>
      <c r="AF78">
        <f t="shared" si="17"/>
        <v>6.7806122448979588E-3</v>
      </c>
      <c r="AG78">
        <f t="shared" si="18"/>
        <v>2.4564031352624907E-3</v>
      </c>
    </row>
    <row r="79" spans="1:53" x14ac:dyDescent="0.25">
      <c r="A79" s="1" t="s">
        <v>894</v>
      </c>
      <c r="J79" t="str">
        <f t="shared" si="16"/>
        <v xml:space="preserve">        10.4        0.79      0.7753      0.0372      0.0378       0.000       0.013       0.011              </v>
      </c>
      <c r="S79">
        <v>10.4</v>
      </c>
      <c r="T79">
        <v>0.79</v>
      </c>
      <c r="U79">
        <v>0.77529999999999999</v>
      </c>
      <c r="V79">
        <v>3.7199999999999997E-2</v>
      </c>
      <c r="W79">
        <v>3.78E-2</v>
      </c>
      <c r="X79">
        <v>0</v>
      </c>
      <c r="Y79">
        <v>1.2999999999999999E-2</v>
      </c>
      <c r="Z79">
        <v>1.0999999999999999E-2</v>
      </c>
      <c r="AF79">
        <f t="shared" si="17"/>
        <v>6.280519480519481E-3</v>
      </c>
      <c r="AG79">
        <f t="shared" si="18"/>
        <v>2.2983971732208367E-3</v>
      </c>
    </row>
    <row r="80" spans="1:53" x14ac:dyDescent="0.25">
      <c r="A80" s="1" t="s">
        <v>895</v>
      </c>
      <c r="J80" t="str">
        <f t="shared" si="16"/>
        <v xml:space="preserve">        10.9        0.82      0.7675      0.0299      0.0320       0.000       0.011       0.009              </v>
      </c>
      <c r="S80">
        <v>10.9</v>
      </c>
      <c r="T80">
        <v>0.82</v>
      </c>
      <c r="U80">
        <v>0.76749999999999996</v>
      </c>
      <c r="V80">
        <v>2.9899999999999999E-2</v>
      </c>
      <c r="W80">
        <v>3.2000000000000001E-2</v>
      </c>
      <c r="X80">
        <v>0</v>
      </c>
      <c r="Y80">
        <v>1.0999999999999999E-2</v>
      </c>
      <c r="Z80">
        <v>8.9999999999999993E-3</v>
      </c>
      <c r="AF80">
        <f t="shared" si="17"/>
        <v>5.2206349206349208E-3</v>
      </c>
      <c r="AG80">
        <f t="shared" si="18"/>
        <v>2.3396271620381151E-3</v>
      </c>
    </row>
    <row r="81" spans="1:33" x14ac:dyDescent="0.25">
      <c r="A81" s="1" t="s">
        <v>896</v>
      </c>
      <c r="J81" t="str">
        <f t="shared" si="16"/>
        <v xml:space="preserve">        11.3        0.85      0.7451      0.0225      0.0258       0.000       0.009       0.007              </v>
      </c>
      <c r="S81">
        <v>11.3</v>
      </c>
      <c r="T81">
        <v>0.85</v>
      </c>
      <c r="U81">
        <v>0.74509999999999998</v>
      </c>
      <c r="V81">
        <v>2.2499999999999999E-2</v>
      </c>
      <c r="W81">
        <v>2.58E-2</v>
      </c>
      <c r="X81">
        <v>0</v>
      </c>
      <c r="Y81">
        <v>8.9999999999999993E-3</v>
      </c>
      <c r="Z81">
        <v>7.0000000000000001E-3</v>
      </c>
      <c r="AF81">
        <f t="shared" si="17"/>
        <v>4.1326530612244899E-3</v>
      </c>
      <c r="AG81">
        <f t="shared" si="18"/>
        <v>2.418192419825074E-3</v>
      </c>
    </row>
    <row r="82" spans="1:33" x14ac:dyDescent="0.25">
      <c r="A82" s="1" t="s">
        <v>897</v>
      </c>
      <c r="J82" t="str">
        <f t="shared" si="16"/>
        <v xml:space="preserve">        11.8        0.89      0.6925      0.0151      0.0194       0.000       0.007       0.005              </v>
      </c>
      <c r="S82">
        <v>11.8</v>
      </c>
      <c r="T82">
        <v>0.89</v>
      </c>
      <c r="U82">
        <v>0.6925</v>
      </c>
      <c r="V82">
        <v>1.5100000000000001E-2</v>
      </c>
      <c r="W82">
        <v>1.9400000000000001E-2</v>
      </c>
      <c r="X82">
        <v>0</v>
      </c>
      <c r="Y82">
        <v>7.0000000000000001E-3</v>
      </c>
      <c r="Z82">
        <v>5.0000000000000001E-3</v>
      </c>
      <c r="AF82">
        <f t="shared" si="17"/>
        <v>3.0200000000000001E-3</v>
      </c>
      <c r="AG82">
        <f t="shared" si="18"/>
        <v>2.5737620362376616E-3</v>
      </c>
    </row>
    <row r="83" spans="1:33" x14ac:dyDescent="0.25">
      <c r="A83" s="1" t="s">
        <v>898</v>
      </c>
      <c r="J83" t="str">
        <f t="shared" si="16"/>
        <v xml:space="preserve">        12.2        0.92      0.5587      0.0076      0.0125       0.000       0.004       0.002              </v>
      </c>
      <c r="S83">
        <v>12.2</v>
      </c>
      <c r="T83">
        <v>0.92</v>
      </c>
      <c r="U83">
        <v>0.55869999999999997</v>
      </c>
      <c r="V83">
        <v>7.6E-3</v>
      </c>
      <c r="W83">
        <v>1.2500000000000001E-2</v>
      </c>
      <c r="X83">
        <v>0</v>
      </c>
      <c r="Y83">
        <v>4.0000000000000001E-3</v>
      </c>
      <c r="Z83">
        <v>2E-3</v>
      </c>
      <c r="AF83">
        <f t="shared" si="17"/>
        <v>2.1714285714285715E-3</v>
      </c>
      <c r="AG83">
        <f t="shared" si="18"/>
        <v>2.0454635130099309E-3</v>
      </c>
    </row>
    <row r="84" spans="1:33" x14ac:dyDescent="0.25">
      <c r="A84" s="1" t="s">
        <v>899</v>
      </c>
      <c r="J84" t="str">
        <f t="shared" si="16"/>
        <v xml:space="preserve">        12.6        0.95     -0.0079      0.0000      0.0060       0.000       0.002       0.000              </v>
      </c>
      <c r="S84">
        <v>12.6</v>
      </c>
      <c r="T84">
        <v>0.95</v>
      </c>
      <c r="U84">
        <v>-7.9000000000000008E-3</v>
      </c>
      <c r="V84">
        <v>0</v>
      </c>
      <c r="W84">
        <v>6.0000000000000001E-3</v>
      </c>
      <c r="X84">
        <v>0</v>
      </c>
      <c r="Y84">
        <v>2E-3</v>
      </c>
      <c r="Z84">
        <v>0</v>
      </c>
    </row>
    <row r="85" spans="1:33" x14ac:dyDescent="0.25">
      <c r="A85" s="1" t="s">
        <v>1</v>
      </c>
    </row>
    <row r="86" spans="1:33" x14ac:dyDescent="0.25">
      <c r="A86" s="1" t="s">
        <v>1</v>
      </c>
    </row>
    <row r="87" spans="1:33" x14ac:dyDescent="0.25">
      <c r="A87" s="1" t="s">
        <v>1</v>
      </c>
    </row>
    <row r="88" spans="1:33" x14ac:dyDescent="0.25">
      <c r="A88" s="1" t="s">
        <v>72</v>
      </c>
      <c r="J88" s="43" t="s">
        <v>1784</v>
      </c>
      <c r="S88">
        <v>3000</v>
      </c>
      <c r="AC88" t="str">
        <f>CONCATENATE($V$16,$AC$13,S88)</f>
        <v>Ct@3000</v>
      </c>
      <c r="AD88" s="3" t="str">
        <f>CONCATENATE($W$16,$AC$13,S88)</f>
        <v>Cp@3000</v>
      </c>
    </row>
    <row r="89" spans="1:33" x14ac:dyDescent="0.25">
      <c r="A89" s="1" t="s">
        <v>1</v>
      </c>
    </row>
    <row r="90" spans="1:33" x14ac:dyDescent="0.25">
      <c r="A90" s="1" t="s">
        <v>9</v>
      </c>
      <c r="J90" t="str">
        <f>A90</f>
        <v xml:space="preserve">         V          J           Pe         Ct          Cp          PWR         Torque      Thrust             </v>
      </c>
      <c r="S90" t="s">
        <v>662</v>
      </c>
      <c r="T90" t="s">
        <v>663</v>
      </c>
      <c r="U90" t="s">
        <v>664</v>
      </c>
      <c r="V90" t="s">
        <v>665</v>
      </c>
      <c r="W90" t="s">
        <v>666</v>
      </c>
      <c r="X90" t="s">
        <v>667</v>
      </c>
      <c r="Y90" t="s">
        <v>668</v>
      </c>
      <c r="Z90" t="s">
        <v>669</v>
      </c>
    </row>
    <row r="91" spans="1:33" x14ac:dyDescent="0.25">
      <c r="A91" s="1" t="s">
        <v>10</v>
      </c>
      <c r="J91" t="str">
        <f t="shared" ref="J91:J121" si="19">A91</f>
        <v xml:space="preserve">       (mph)     (Adv Ratio)                                       (Hp)        (In-Lbf)     (Lbf)             </v>
      </c>
      <c r="S91" t="s">
        <v>670</v>
      </c>
      <c r="T91" t="s">
        <v>1780</v>
      </c>
      <c r="U91" t="s">
        <v>1781</v>
      </c>
      <c r="V91" t="s">
        <v>672</v>
      </c>
      <c r="W91" t="s">
        <v>673</v>
      </c>
      <c r="X91" t="s">
        <v>674</v>
      </c>
    </row>
    <row r="92" spans="1:33" x14ac:dyDescent="0.25">
      <c r="A92" s="1" t="s">
        <v>900</v>
      </c>
      <c r="J92" t="str">
        <f t="shared" si="19"/>
        <v xml:space="preserve">         0.0        0.00      0.0000      0.1320      0.0659       0.002       0.051       0.091              </v>
      </c>
      <c r="S92">
        <v>0</v>
      </c>
      <c r="T92">
        <v>0</v>
      </c>
      <c r="U92">
        <v>0</v>
      </c>
      <c r="V92">
        <v>0.13200000000000001</v>
      </c>
      <c r="W92">
        <v>6.59E-2</v>
      </c>
      <c r="X92">
        <v>2E-3</v>
      </c>
      <c r="Y92">
        <v>5.0999999999999997E-2</v>
      </c>
      <c r="Z92">
        <v>9.0999999999999998E-2</v>
      </c>
    </row>
    <row r="93" spans="1:33" x14ac:dyDescent="0.25">
      <c r="A93" s="1" t="s">
        <v>901</v>
      </c>
      <c r="J93" t="str">
        <f t="shared" si="19"/>
        <v xml:space="preserve">         0.7        0.03      0.0644      0.1316      0.0670       0.002       0.051       0.091              </v>
      </c>
      <c r="S93">
        <v>0.7</v>
      </c>
      <c r="T93">
        <v>0.03</v>
      </c>
      <c r="U93">
        <v>6.4399999999999999E-2</v>
      </c>
      <c r="V93">
        <v>0.13159999999999999</v>
      </c>
      <c r="W93">
        <v>6.7000000000000004E-2</v>
      </c>
      <c r="X93">
        <v>2E-3</v>
      </c>
      <c r="Y93">
        <v>5.0999999999999997E-2</v>
      </c>
      <c r="Z93">
        <v>9.0999999999999998E-2</v>
      </c>
    </row>
    <row r="94" spans="1:33" x14ac:dyDescent="0.25">
      <c r="A94" s="1" t="s">
        <v>902</v>
      </c>
      <c r="J94" t="str">
        <f t="shared" si="19"/>
        <v xml:space="preserve">         1.3        0.07      0.1261      0.1310      0.0681       0.002       0.052       0.090              </v>
      </c>
      <c r="S94">
        <v>1.3</v>
      </c>
      <c r="T94">
        <v>7.0000000000000007E-2</v>
      </c>
      <c r="U94">
        <v>0.12609999999999999</v>
      </c>
      <c r="V94">
        <v>0.13100000000000001</v>
      </c>
      <c r="W94">
        <v>6.8099999999999994E-2</v>
      </c>
      <c r="X94">
        <v>2E-3</v>
      </c>
      <c r="Y94">
        <v>5.1999999999999998E-2</v>
      </c>
      <c r="Z94">
        <v>0.09</v>
      </c>
    </row>
    <row r="95" spans="1:33" x14ac:dyDescent="0.25">
      <c r="A95" s="1" t="s">
        <v>903</v>
      </c>
      <c r="J95" t="str">
        <f t="shared" si="19"/>
        <v xml:space="preserve">         2.0        0.10      0.1850      0.1304      0.0693       0.003       0.053       0.090              </v>
      </c>
      <c r="S95">
        <v>2</v>
      </c>
      <c r="T95">
        <v>0.1</v>
      </c>
      <c r="U95">
        <v>0.185</v>
      </c>
      <c r="V95">
        <v>0.13039999999999999</v>
      </c>
      <c r="W95">
        <v>6.93E-2</v>
      </c>
      <c r="X95">
        <v>3.0000000000000001E-3</v>
      </c>
      <c r="Y95">
        <v>5.2999999999999999E-2</v>
      </c>
      <c r="Z95">
        <v>0.09</v>
      </c>
    </row>
    <row r="96" spans="1:33" x14ac:dyDescent="0.25">
      <c r="A96" s="1" t="s">
        <v>904</v>
      </c>
      <c r="J96" t="str">
        <f t="shared" si="19"/>
        <v xml:space="preserve">         2.6        0.13      0.2413      0.1296      0.0704       0.003       0.054       0.089              </v>
      </c>
      <c r="S96">
        <v>2.6</v>
      </c>
      <c r="T96">
        <v>0.13</v>
      </c>
      <c r="U96">
        <v>0.24129999999999999</v>
      </c>
      <c r="V96">
        <v>0.12959999999999999</v>
      </c>
      <c r="W96">
        <v>7.0400000000000004E-2</v>
      </c>
      <c r="X96">
        <v>3.0000000000000001E-3</v>
      </c>
      <c r="Y96">
        <v>5.3999999999999999E-2</v>
      </c>
      <c r="Z96">
        <v>8.8999999999999996E-2</v>
      </c>
    </row>
    <row r="97" spans="1:26" x14ac:dyDescent="0.25">
      <c r="A97" s="1" t="s">
        <v>905</v>
      </c>
      <c r="J97" t="str">
        <f t="shared" si="19"/>
        <v xml:space="preserve">         3.3        0.16      0.2948      0.1286      0.0715       0.003       0.055       0.089              </v>
      </c>
      <c r="S97">
        <v>3.3</v>
      </c>
      <c r="T97">
        <v>0.16</v>
      </c>
      <c r="U97">
        <v>0.29480000000000001</v>
      </c>
      <c r="V97">
        <v>0.12859999999999999</v>
      </c>
      <c r="W97">
        <v>7.1499999999999994E-2</v>
      </c>
      <c r="X97">
        <v>3.0000000000000001E-3</v>
      </c>
      <c r="Y97">
        <v>5.5E-2</v>
      </c>
      <c r="Z97">
        <v>8.8999999999999996E-2</v>
      </c>
    </row>
    <row r="98" spans="1:26" x14ac:dyDescent="0.25">
      <c r="A98" s="1" t="s">
        <v>906</v>
      </c>
      <c r="J98" t="str">
        <f t="shared" si="19"/>
        <v xml:space="preserve">         3.9        0.20      0.3456      0.1273      0.0725       0.003       0.056       0.088              </v>
      </c>
      <c r="S98">
        <v>3.9</v>
      </c>
      <c r="T98">
        <v>0.2</v>
      </c>
      <c r="U98">
        <v>0.34560000000000002</v>
      </c>
      <c r="V98">
        <v>0.1273</v>
      </c>
      <c r="W98">
        <v>7.2499999999999995E-2</v>
      </c>
      <c r="X98">
        <v>3.0000000000000001E-3</v>
      </c>
      <c r="Y98">
        <v>5.6000000000000001E-2</v>
      </c>
      <c r="Z98">
        <v>8.7999999999999995E-2</v>
      </c>
    </row>
    <row r="99" spans="1:26" x14ac:dyDescent="0.25">
      <c r="A99" s="1" t="s">
        <v>907</v>
      </c>
      <c r="J99" t="str">
        <f t="shared" si="19"/>
        <v xml:space="preserve">         4.6        0.23      0.3936      0.1257      0.0733       0.003       0.056       0.086              </v>
      </c>
      <c r="S99">
        <v>4.5999999999999996</v>
      </c>
      <c r="T99">
        <v>0.23</v>
      </c>
      <c r="U99">
        <v>0.39360000000000001</v>
      </c>
      <c r="V99">
        <v>0.12570000000000001</v>
      </c>
      <c r="W99">
        <v>7.3300000000000004E-2</v>
      </c>
      <c r="X99">
        <v>3.0000000000000001E-3</v>
      </c>
      <c r="Y99">
        <v>5.6000000000000001E-2</v>
      </c>
      <c r="Z99">
        <v>8.5999999999999993E-2</v>
      </c>
    </row>
    <row r="100" spans="1:26" x14ac:dyDescent="0.25">
      <c r="A100" s="1" t="s">
        <v>908</v>
      </c>
      <c r="J100" t="str">
        <f t="shared" si="19"/>
        <v xml:space="preserve">         5.2        0.26      0.4389      0.1236      0.0738       0.003       0.057       0.085              </v>
      </c>
      <c r="S100">
        <v>5.2</v>
      </c>
      <c r="T100">
        <v>0.26</v>
      </c>
      <c r="U100">
        <v>0.43890000000000001</v>
      </c>
      <c r="V100">
        <v>0.1236</v>
      </c>
      <c r="W100">
        <v>7.3800000000000004E-2</v>
      </c>
      <c r="X100">
        <v>3.0000000000000001E-3</v>
      </c>
      <c r="Y100">
        <v>5.7000000000000002E-2</v>
      </c>
      <c r="Z100">
        <v>8.5000000000000006E-2</v>
      </c>
    </row>
    <row r="101" spans="1:26" x14ac:dyDescent="0.25">
      <c r="A101" s="1" t="s">
        <v>909</v>
      </c>
      <c r="J101" t="str">
        <f t="shared" si="19"/>
        <v xml:space="preserve">         5.9        0.30      0.4814      0.1211      0.0742       0.003       0.057       0.083              </v>
      </c>
      <c r="S101">
        <v>5.9</v>
      </c>
      <c r="T101">
        <v>0.3</v>
      </c>
      <c r="U101">
        <v>0.48139999999999999</v>
      </c>
      <c r="V101">
        <v>0.1211</v>
      </c>
      <c r="W101">
        <v>7.4200000000000002E-2</v>
      </c>
      <c r="X101">
        <v>3.0000000000000001E-3</v>
      </c>
      <c r="Y101">
        <v>5.7000000000000002E-2</v>
      </c>
      <c r="Z101">
        <v>8.3000000000000004E-2</v>
      </c>
    </row>
    <row r="102" spans="1:26" x14ac:dyDescent="0.25">
      <c r="A102" s="1" t="s">
        <v>910</v>
      </c>
      <c r="J102" t="str">
        <f t="shared" si="19"/>
        <v xml:space="preserve">         6.5        0.33      0.5211      0.1181      0.0743       0.003       0.057       0.081              </v>
      </c>
      <c r="S102">
        <v>6.5</v>
      </c>
      <c r="T102">
        <v>0.33</v>
      </c>
      <c r="U102">
        <v>0.52110000000000001</v>
      </c>
      <c r="V102">
        <v>0.1181</v>
      </c>
      <c r="W102">
        <v>7.4300000000000005E-2</v>
      </c>
      <c r="X102">
        <v>3.0000000000000001E-3</v>
      </c>
      <c r="Y102">
        <v>5.7000000000000002E-2</v>
      </c>
      <c r="Z102">
        <v>8.1000000000000003E-2</v>
      </c>
    </row>
    <row r="103" spans="1:26" x14ac:dyDescent="0.25">
      <c r="A103" s="1" t="s">
        <v>911</v>
      </c>
      <c r="J103" t="str">
        <f t="shared" si="19"/>
        <v xml:space="preserve">         7.2        0.36      0.5581      0.1147      0.0741       0.003       0.057       0.079              </v>
      </c>
      <c r="S103">
        <v>7.2</v>
      </c>
      <c r="T103">
        <v>0.36</v>
      </c>
      <c r="U103">
        <v>0.55810000000000004</v>
      </c>
      <c r="V103">
        <v>0.1147</v>
      </c>
      <c r="W103">
        <v>7.4099999999999999E-2</v>
      </c>
      <c r="X103">
        <v>3.0000000000000001E-3</v>
      </c>
      <c r="Y103">
        <v>5.7000000000000002E-2</v>
      </c>
      <c r="Z103">
        <v>7.9000000000000001E-2</v>
      </c>
    </row>
    <row r="104" spans="1:26" x14ac:dyDescent="0.25">
      <c r="A104" s="1" t="s">
        <v>912</v>
      </c>
      <c r="J104" t="str">
        <f t="shared" si="19"/>
        <v xml:space="preserve">         7.8        0.39      0.5920      0.1107      0.0736       0.003       0.056       0.076              </v>
      </c>
      <c r="S104">
        <v>7.8</v>
      </c>
      <c r="T104">
        <v>0.39</v>
      </c>
      <c r="U104">
        <v>0.59199999999999997</v>
      </c>
      <c r="V104">
        <v>0.11070000000000001</v>
      </c>
      <c r="W104">
        <v>7.3599999999999999E-2</v>
      </c>
      <c r="X104">
        <v>3.0000000000000001E-3</v>
      </c>
      <c r="Y104">
        <v>5.6000000000000001E-2</v>
      </c>
      <c r="Z104">
        <v>7.5999999999999998E-2</v>
      </c>
    </row>
    <row r="105" spans="1:26" x14ac:dyDescent="0.25">
      <c r="A105" s="1" t="s">
        <v>913</v>
      </c>
      <c r="J105" t="str">
        <f t="shared" si="19"/>
        <v xml:space="preserve">         8.5        0.43      0.6232      0.1063      0.0727       0.003       0.056       0.073              </v>
      </c>
      <c r="S105">
        <v>8.5</v>
      </c>
      <c r="T105">
        <v>0.43</v>
      </c>
      <c r="U105">
        <v>0.62319999999999998</v>
      </c>
      <c r="V105">
        <v>0.10630000000000001</v>
      </c>
      <c r="W105">
        <v>7.2700000000000001E-2</v>
      </c>
      <c r="X105">
        <v>3.0000000000000001E-3</v>
      </c>
      <c r="Y105">
        <v>5.6000000000000001E-2</v>
      </c>
      <c r="Z105">
        <v>7.2999999999999995E-2</v>
      </c>
    </row>
    <row r="106" spans="1:26" x14ac:dyDescent="0.25">
      <c r="A106" s="1" t="s">
        <v>914</v>
      </c>
      <c r="J106" t="str">
        <f t="shared" si="19"/>
        <v xml:space="preserve">         9.1        0.46      0.6514      0.1013      0.0714       0.003       0.055       0.070              </v>
      </c>
      <c r="S106">
        <v>9.1</v>
      </c>
      <c r="T106">
        <v>0.46</v>
      </c>
      <c r="U106">
        <v>0.65139999999999998</v>
      </c>
      <c r="V106">
        <v>0.1013</v>
      </c>
      <c r="W106">
        <v>7.1400000000000005E-2</v>
      </c>
      <c r="X106">
        <v>3.0000000000000001E-3</v>
      </c>
      <c r="Y106">
        <v>5.5E-2</v>
      </c>
      <c r="Z106">
        <v>7.0000000000000007E-2</v>
      </c>
    </row>
    <row r="107" spans="1:26" x14ac:dyDescent="0.25">
      <c r="A107" s="1" t="s">
        <v>915</v>
      </c>
      <c r="J107" t="str">
        <f t="shared" si="19"/>
        <v xml:space="preserve">         9.8        0.49      0.6764      0.0958      0.0697       0.003       0.053       0.066              </v>
      </c>
      <c r="S107">
        <v>9.8000000000000007</v>
      </c>
      <c r="T107">
        <v>0.49</v>
      </c>
      <c r="U107">
        <v>0.6764</v>
      </c>
      <c r="V107">
        <v>9.5799999999999996E-2</v>
      </c>
      <c r="W107">
        <v>6.9699999999999998E-2</v>
      </c>
      <c r="X107">
        <v>3.0000000000000001E-3</v>
      </c>
      <c r="Y107">
        <v>5.2999999999999999E-2</v>
      </c>
      <c r="Z107">
        <v>6.6000000000000003E-2</v>
      </c>
    </row>
    <row r="108" spans="1:26" x14ac:dyDescent="0.25">
      <c r="A108" s="1" t="s">
        <v>916</v>
      </c>
      <c r="J108" t="str">
        <f t="shared" si="19"/>
        <v xml:space="preserve">        10.4        0.52      0.6983      0.0900      0.0676       0.002       0.052       0.062              </v>
      </c>
      <c r="S108">
        <v>10.4</v>
      </c>
      <c r="T108">
        <v>0.52</v>
      </c>
      <c r="U108">
        <v>0.69830000000000003</v>
      </c>
      <c r="V108">
        <v>0.09</v>
      </c>
      <c r="W108">
        <v>6.7599999999999993E-2</v>
      </c>
      <c r="X108">
        <v>2E-3</v>
      </c>
      <c r="Y108">
        <v>5.1999999999999998E-2</v>
      </c>
      <c r="Z108">
        <v>6.2E-2</v>
      </c>
    </row>
    <row r="109" spans="1:26" x14ac:dyDescent="0.25">
      <c r="A109" s="1" t="s">
        <v>917</v>
      </c>
      <c r="J109" t="str">
        <f t="shared" si="19"/>
        <v xml:space="preserve">        11.1        0.56      0.7172      0.0839      0.0652       0.002       0.050       0.058              </v>
      </c>
      <c r="S109">
        <v>11.1</v>
      </c>
      <c r="T109">
        <v>0.56000000000000005</v>
      </c>
      <c r="U109">
        <v>0.71719999999999995</v>
      </c>
      <c r="V109">
        <v>8.3900000000000002E-2</v>
      </c>
      <c r="W109">
        <v>6.5199999999999994E-2</v>
      </c>
      <c r="X109">
        <v>2E-3</v>
      </c>
      <c r="Y109">
        <v>0.05</v>
      </c>
      <c r="Z109">
        <v>5.8000000000000003E-2</v>
      </c>
    </row>
    <row r="110" spans="1:26" x14ac:dyDescent="0.25">
      <c r="A110" s="1" t="s">
        <v>918</v>
      </c>
      <c r="J110" t="str">
        <f t="shared" si="19"/>
        <v xml:space="preserve">        11.7        0.59      0.7331      0.0778      0.0626       0.002       0.048       0.054              </v>
      </c>
      <c r="S110">
        <v>11.7</v>
      </c>
      <c r="T110">
        <v>0.59</v>
      </c>
      <c r="U110">
        <v>0.73309999999999997</v>
      </c>
      <c r="V110">
        <v>7.7799999999999994E-2</v>
      </c>
      <c r="W110">
        <v>6.2600000000000003E-2</v>
      </c>
      <c r="X110">
        <v>2E-3</v>
      </c>
      <c r="Y110">
        <v>4.8000000000000001E-2</v>
      </c>
      <c r="Z110">
        <v>5.3999999999999999E-2</v>
      </c>
    </row>
    <row r="111" spans="1:26" x14ac:dyDescent="0.25">
      <c r="A111" s="1" t="s">
        <v>919</v>
      </c>
      <c r="J111" t="str">
        <f t="shared" si="19"/>
        <v xml:space="preserve">        12.4        0.62      0.7465      0.0715      0.0596       0.002       0.046       0.049              </v>
      </c>
      <c r="S111">
        <v>12.4</v>
      </c>
      <c r="T111">
        <v>0.62</v>
      </c>
      <c r="U111">
        <v>0.74650000000000005</v>
      </c>
      <c r="V111">
        <v>7.1499999999999994E-2</v>
      </c>
      <c r="W111">
        <v>5.96E-2</v>
      </c>
      <c r="X111">
        <v>2E-3</v>
      </c>
      <c r="Y111">
        <v>4.5999999999999999E-2</v>
      </c>
      <c r="Z111">
        <v>4.9000000000000002E-2</v>
      </c>
    </row>
    <row r="112" spans="1:26" x14ac:dyDescent="0.25">
      <c r="A112" s="1" t="s">
        <v>920</v>
      </c>
      <c r="J112" t="str">
        <f t="shared" si="19"/>
        <v xml:space="preserve">        13.0        0.66      0.7574      0.0651      0.0563       0.002       0.043       0.045              </v>
      </c>
      <c r="S112">
        <v>13</v>
      </c>
      <c r="T112">
        <v>0.66</v>
      </c>
      <c r="U112">
        <v>0.75739999999999996</v>
      </c>
      <c r="V112">
        <v>6.5100000000000005E-2</v>
      </c>
      <c r="W112">
        <v>5.6300000000000003E-2</v>
      </c>
      <c r="X112">
        <v>2E-3</v>
      </c>
      <c r="Y112">
        <v>4.2999999999999997E-2</v>
      </c>
      <c r="Z112">
        <v>4.4999999999999998E-2</v>
      </c>
    </row>
    <row r="113" spans="1:30" x14ac:dyDescent="0.25">
      <c r="A113" s="1" t="s">
        <v>921</v>
      </c>
      <c r="J113" t="str">
        <f t="shared" si="19"/>
        <v xml:space="preserve">        13.7        0.69      0.7661      0.0584      0.0525       0.002       0.040       0.040              </v>
      </c>
      <c r="S113">
        <v>13.7</v>
      </c>
      <c r="T113">
        <v>0.69</v>
      </c>
      <c r="U113">
        <v>0.7661</v>
      </c>
      <c r="V113">
        <v>5.8400000000000001E-2</v>
      </c>
      <c r="W113">
        <v>5.2499999999999998E-2</v>
      </c>
      <c r="X113">
        <v>2E-3</v>
      </c>
      <c r="Y113">
        <v>0.04</v>
      </c>
      <c r="Z113">
        <v>0.04</v>
      </c>
    </row>
    <row r="114" spans="1:30" x14ac:dyDescent="0.25">
      <c r="A114" s="1" t="s">
        <v>922</v>
      </c>
      <c r="J114" t="str">
        <f t="shared" si="19"/>
        <v xml:space="preserve">        14.3        0.72      0.7727      0.0517      0.0482       0.002       0.037       0.036              </v>
      </c>
      <c r="S114">
        <v>14.3</v>
      </c>
      <c r="T114">
        <v>0.72</v>
      </c>
      <c r="U114">
        <v>0.77270000000000005</v>
      </c>
      <c r="V114">
        <v>5.1700000000000003E-2</v>
      </c>
      <c r="W114">
        <v>4.82E-2</v>
      </c>
      <c r="X114">
        <v>2E-3</v>
      </c>
      <c r="Y114">
        <v>3.6999999999999998E-2</v>
      </c>
      <c r="Z114">
        <v>3.5999999999999997E-2</v>
      </c>
    </row>
    <row r="115" spans="1:30" x14ac:dyDescent="0.25">
      <c r="A115" s="1" t="s">
        <v>923</v>
      </c>
      <c r="J115" t="str">
        <f t="shared" si="19"/>
        <v xml:space="preserve">        15.0        0.75      0.7760      0.0447      0.0434       0.002       0.033       0.031              </v>
      </c>
      <c r="S115">
        <v>15</v>
      </c>
      <c r="T115">
        <v>0.75</v>
      </c>
      <c r="U115">
        <v>0.77600000000000002</v>
      </c>
      <c r="V115">
        <v>4.4699999999999997E-2</v>
      </c>
      <c r="W115">
        <v>4.3400000000000001E-2</v>
      </c>
      <c r="X115">
        <v>2E-3</v>
      </c>
      <c r="Y115">
        <v>3.3000000000000002E-2</v>
      </c>
      <c r="Z115">
        <v>3.1E-2</v>
      </c>
    </row>
    <row r="116" spans="1:30" x14ac:dyDescent="0.25">
      <c r="A116" s="1" t="s">
        <v>924</v>
      </c>
      <c r="J116" t="str">
        <f t="shared" si="19"/>
        <v xml:space="preserve">        15.6        0.79      0.7754      0.0375      0.0381       0.001       0.029       0.026              </v>
      </c>
      <c r="S116">
        <v>15.6</v>
      </c>
      <c r="T116">
        <v>0.79</v>
      </c>
      <c r="U116">
        <v>0.77539999999999998</v>
      </c>
      <c r="V116">
        <v>3.7499999999999999E-2</v>
      </c>
      <c r="W116">
        <v>3.8100000000000002E-2</v>
      </c>
      <c r="X116">
        <v>1E-3</v>
      </c>
      <c r="Y116">
        <v>2.9000000000000001E-2</v>
      </c>
      <c r="Z116">
        <v>2.5999999999999999E-2</v>
      </c>
    </row>
    <row r="117" spans="1:30" x14ac:dyDescent="0.25">
      <c r="A117" s="1" t="s">
        <v>925</v>
      </c>
      <c r="J117" t="str">
        <f t="shared" si="19"/>
        <v xml:space="preserve">        16.3        0.82      0.7681      0.0302      0.0323       0.001       0.025       0.021              </v>
      </c>
      <c r="S117">
        <v>16.3</v>
      </c>
      <c r="T117">
        <v>0.82</v>
      </c>
      <c r="U117">
        <v>0.7681</v>
      </c>
      <c r="V117">
        <v>3.0200000000000001E-2</v>
      </c>
      <c r="W117">
        <v>3.2300000000000002E-2</v>
      </c>
      <c r="X117">
        <v>1E-3</v>
      </c>
      <c r="Y117">
        <v>2.5000000000000001E-2</v>
      </c>
      <c r="Z117">
        <v>2.1000000000000001E-2</v>
      </c>
    </row>
    <row r="118" spans="1:30" x14ac:dyDescent="0.25">
      <c r="A118" s="1" t="s">
        <v>926</v>
      </c>
      <c r="J118" t="str">
        <f t="shared" si="19"/>
        <v xml:space="preserve">        16.9        0.85      0.7465      0.0228      0.0261       0.001       0.020       0.016              </v>
      </c>
      <c r="S118">
        <v>16.899999999999999</v>
      </c>
      <c r="T118">
        <v>0.85</v>
      </c>
      <c r="U118">
        <v>0.74650000000000005</v>
      </c>
      <c r="V118">
        <v>2.2800000000000001E-2</v>
      </c>
      <c r="W118">
        <v>2.6100000000000002E-2</v>
      </c>
      <c r="X118">
        <v>1E-3</v>
      </c>
      <c r="Y118">
        <v>0.02</v>
      </c>
      <c r="Z118">
        <v>1.6E-2</v>
      </c>
    </row>
    <row r="119" spans="1:30" x14ac:dyDescent="0.25">
      <c r="A119" s="1" t="s">
        <v>927</v>
      </c>
      <c r="J119" t="str">
        <f t="shared" si="19"/>
        <v xml:space="preserve">        17.6        0.89      0.6955      0.0154      0.0196       0.001       0.015       0.011              </v>
      </c>
      <c r="S119">
        <v>17.600000000000001</v>
      </c>
      <c r="T119">
        <v>0.89</v>
      </c>
      <c r="U119">
        <v>0.69550000000000001</v>
      </c>
      <c r="V119">
        <v>1.54E-2</v>
      </c>
      <c r="W119">
        <v>1.9599999999999999E-2</v>
      </c>
      <c r="X119">
        <v>1E-3</v>
      </c>
      <c r="Y119">
        <v>1.4999999999999999E-2</v>
      </c>
      <c r="Z119">
        <v>1.0999999999999999E-2</v>
      </c>
    </row>
    <row r="120" spans="1:30" x14ac:dyDescent="0.25">
      <c r="A120" s="1" t="s">
        <v>928</v>
      </c>
      <c r="J120" t="str">
        <f t="shared" si="19"/>
        <v xml:space="preserve">        18.3        0.92      0.5636      0.0078      0.0127       0.000       0.010       0.005              </v>
      </c>
      <c r="S120">
        <v>18.3</v>
      </c>
      <c r="T120">
        <v>0.92</v>
      </c>
      <c r="U120">
        <v>0.56359999999999999</v>
      </c>
      <c r="V120">
        <v>7.7999999999999996E-3</v>
      </c>
      <c r="W120">
        <v>1.2699999999999999E-2</v>
      </c>
      <c r="X120">
        <v>0</v>
      </c>
      <c r="Y120">
        <v>0.01</v>
      </c>
      <c r="Z120">
        <v>5.0000000000000001E-3</v>
      </c>
    </row>
    <row r="121" spans="1:30" x14ac:dyDescent="0.25">
      <c r="A121" s="1" t="s">
        <v>929</v>
      </c>
      <c r="J121" t="str">
        <f t="shared" si="19"/>
        <v xml:space="preserve">        18.9        0.95      0.0316      0.0002      0.0061       0.000       0.005       0.000              </v>
      </c>
      <c r="S121">
        <v>18.899999999999999</v>
      </c>
      <c r="T121">
        <v>0.95</v>
      </c>
      <c r="U121">
        <v>3.1600000000000003E-2</v>
      </c>
      <c r="V121">
        <v>2.0000000000000001E-4</v>
      </c>
      <c r="W121">
        <v>6.1000000000000004E-3</v>
      </c>
      <c r="X121">
        <v>0</v>
      </c>
      <c r="Y121">
        <v>5.0000000000000001E-3</v>
      </c>
      <c r="Z121">
        <v>0</v>
      </c>
    </row>
    <row r="122" spans="1:30" x14ac:dyDescent="0.25">
      <c r="A122" s="1" t="s">
        <v>1</v>
      </c>
    </row>
    <row r="123" spans="1:30" x14ac:dyDescent="0.25">
      <c r="A123" s="1" t="s">
        <v>1</v>
      </c>
    </row>
    <row r="124" spans="1:30" x14ac:dyDescent="0.25">
      <c r="A124" s="1" t="s">
        <v>1</v>
      </c>
    </row>
    <row r="125" spans="1:30" x14ac:dyDescent="0.25">
      <c r="A125" s="1" t="s">
        <v>103</v>
      </c>
      <c r="J125" s="43" t="s">
        <v>1785</v>
      </c>
      <c r="S125">
        <v>4000</v>
      </c>
      <c r="AC125" t="str">
        <f>CONCATENATE($V$16,$AC$13,S125)</f>
        <v>Ct@4000</v>
      </c>
      <c r="AD125" s="3" t="str">
        <f>CONCATENATE($W$16,$AC$13,S125)</f>
        <v>Cp@4000</v>
      </c>
    </row>
    <row r="126" spans="1:30" x14ac:dyDescent="0.25">
      <c r="A126" s="1" t="s">
        <v>1</v>
      </c>
    </row>
    <row r="127" spans="1:30" x14ac:dyDescent="0.25">
      <c r="A127" s="1" t="s">
        <v>9</v>
      </c>
      <c r="J127" t="str">
        <f>A127</f>
        <v xml:space="preserve">         V          J           Pe         Ct          Cp          PWR         Torque      Thrust             </v>
      </c>
      <c r="S127" t="s">
        <v>662</v>
      </c>
      <c r="T127" t="s">
        <v>663</v>
      </c>
      <c r="U127" t="s">
        <v>664</v>
      </c>
      <c r="V127" t="s">
        <v>665</v>
      </c>
      <c r="W127" t="s">
        <v>666</v>
      </c>
      <c r="X127" t="s">
        <v>667</v>
      </c>
      <c r="Y127" t="s">
        <v>668</v>
      </c>
      <c r="Z127" t="s">
        <v>669</v>
      </c>
    </row>
    <row r="128" spans="1:30" x14ac:dyDescent="0.25">
      <c r="A128" s="1" t="s">
        <v>10</v>
      </c>
      <c r="J128" t="str">
        <f t="shared" ref="J128:J158" si="20">A128</f>
        <v xml:space="preserve">       (mph)     (Adv Ratio)                                       (Hp)        (In-Lbf)     (Lbf)             </v>
      </c>
      <c r="S128" t="s">
        <v>670</v>
      </c>
      <c r="T128" t="s">
        <v>1780</v>
      </c>
      <c r="U128" t="s">
        <v>1781</v>
      </c>
      <c r="V128" t="s">
        <v>672</v>
      </c>
      <c r="W128" t="s">
        <v>673</v>
      </c>
      <c r="X128" t="s">
        <v>674</v>
      </c>
    </row>
    <row r="129" spans="1:26" x14ac:dyDescent="0.25">
      <c r="A129" s="1" t="s">
        <v>930</v>
      </c>
      <c r="J129" t="str">
        <f t="shared" si="20"/>
        <v xml:space="preserve">         0.0        0.00      0.0000      0.1321      0.0659       0.006       0.090       0.162              </v>
      </c>
      <c r="S129">
        <v>0</v>
      </c>
      <c r="T129">
        <v>0</v>
      </c>
      <c r="U129">
        <v>0</v>
      </c>
      <c r="V129">
        <v>0.1321</v>
      </c>
      <c r="W129">
        <v>6.59E-2</v>
      </c>
      <c r="X129">
        <v>6.0000000000000001E-3</v>
      </c>
      <c r="Y129">
        <v>0.09</v>
      </c>
      <c r="Z129">
        <v>0.16200000000000001</v>
      </c>
    </row>
    <row r="130" spans="1:26" x14ac:dyDescent="0.25">
      <c r="A130" s="1" t="s">
        <v>931</v>
      </c>
      <c r="J130" t="str">
        <f t="shared" si="20"/>
        <v xml:space="preserve">         0.9        0.03      0.0644      0.1316      0.0670       0.006       0.091       0.161              </v>
      </c>
      <c r="S130">
        <v>0.9</v>
      </c>
      <c r="T130">
        <v>0.03</v>
      </c>
      <c r="U130">
        <v>6.4399999999999999E-2</v>
      </c>
      <c r="V130">
        <v>0.13159999999999999</v>
      </c>
      <c r="W130">
        <v>6.7000000000000004E-2</v>
      </c>
      <c r="X130">
        <v>6.0000000000000001E-3</v>
      </c>
      <c r="Y130">
        <v>9.0999999999999998E-2</v>
      </c>
      <c r="Z130">
        <v>0.161</v>
      </c>
    </row>
    <row r="131" spans="1:26" x14ac:dyDescent="0.25">
      <c r="A131" s="1" t="s">
        <v>932</v>
      </c>
      <c r="J131" t="str">
        <f t="shared" si="20"/>
        <v xml:space="preserve">         1.7        0.07      0.1261      0.1311      0.0682       0.006       0.093       0.160              </v>
      </c>
      <c r="S131">
        <v>1.7</v>
      </c>
      <c r="T131">
        <v>7.0000000000000007E-2</v>
      </c>
      <c r="U131">
        <v>0.12609999999999999</v>
      </c>
      <c r="V131">
        <v>0.13109999999999999</v>
      </c>
      <c r="W131">
        <v>6.8199999999999997E-2</v>
      </c>
      <c r="X131">
        <v>6.0000000000000001E-3</v>
      </c>
      <c r="Y131">
        <v>9.2999999999999999E-2</v>
      </c>
      <c r="Z131">
        <v>0.16</v>
      </c>
    </row>
    <row r="132" spans="1:26" x14ac:dyDescent="0.25">
      <c r="A132" s="1" t="s">
        <v>933</v>
      </c>
      <c r="J132" t="str">
        <f t="shared" si="20"/>
        <v xml:space="preserve">         2.6        0.10      0.1851      0.1305      0.0693       0.006       0.095       0.160              </v>
      </c>
      <c r="S132">
        <v>2.6</v>
      </c>
      <c r="T132">
        <v>0.1</v>
      </c>
      <c r="U132">
        <v>0.18509999999999999</v>
      </c>
      <c r="V132">
        <v>0.1305</v>
      </c>
      <c r="W132">
        <v>6.93E-2</v>
      </c>
      <c r="X132">
        <v>6.0000000000000001E-3</v>
      </c>
      <c r="Y132">
        <v>9.5000000000000001E-2</v>
      </c>
      <c r="Z132">
        <v>0.16</v>
      </c>
    </row>
    <row r="133" spans="1:26" x14ac:dyDescent="0.25">
      <c r="A133" s="1" t="s">
        <v>934</v>
      </c>
      <c r="J133" t="str">
        <f t="shared" si="20"/>
        <v xml:space="preserve">         3.5        0.13      0.2413      0.1297      0.0705       0.006       0.096       0.159              </v>
      </c>
      <c r="S133">
        <v>3.5</v>
      </c>
      <c r="T133">
        <v>0.13</v>
      </c>
      <c r="U133">
        <v>0.24129999999999999</v>
      </c>
      <c r="V133">
        <v>0.12970000000000001</v>
      </c>
      <c r="W133">
        <v>7.0499999999999993E-2</v>
      </c>
      <c r="X133">
        <v>6.0000000000000001E-3</v>
      </c>
      <c r="Y133">
        <v>9.6000000000000002E-2</v>
      </c>
      <c r="Z133">
        <v>0.159</v>
      </c>
    </row>
    <row r="134" spans="1:26" x14ac:dyDescent="0.25">
      <c r="A134" s="1" t="s">
        <v>935</v>
      </c>
      <c r="J134" t="str">
        <f t="shared" si="20"/>
        <v xml:space="preserve">         4.3        0.16      0.2949      0.1287      0.0716       0.006       0.098       0.158              </v>
      </c>
      <c r="S134">
        <v>4.3</v>
      </c>
      <c r="T134">
        <v>0.16</v>
      </c>
      <c r="U134">
        <v>0.2949</v>
      </c>
      <c r="V134">
        <v>0.12870000000000001</v>
      </c>
      <c r="W134">
        <v>7.1599999999999997E-2</v>
      </c>
      <c r="X134">
        <v>6.0000000000000001E-3</v>
      </c>
      <c r="Y134">
        <v>9.8000000000000004E-2</v>
      </c>
      <c r="Z134">
        <v>0.158</v>
      </c>
    </row>
    <row r="135" spans="1:26" x14ac:dyDescent="0.25">
      <c r="A135" s="1" t="s">
        <v>936</v>
      </c>
      <c r="J135" t="str">
        <f t="shared" si="20"/>
        <v xml:space="preserve">         5.2        0.20      0.3457      0.1274      0.0725       0.006       0.099       0.156              </v>
      </c>
      <c r="S135">
        <v>5.2</v>
      </c>
      <c r="T135">
        <v>0.2</v>
      </c>
      <c r="U135">
        <v>0.34570000000000001</v>
      </c>
      <c r="V135">
        <v>0.12740000000000001</v>
      </c>
      <c r="W135">
        <v>7.2499999999999995E-2</v>
      </c>
      <c r="X135">
        <v>6.0000000000000001E-3</v>
      </c>
      <c r="Y135">
        <v>9.9000000000000005E-2</v>
      </c>
      <c r="Z135">
        <v>0.156</v>
      </c>
    </row>
    <row r="136" spans="1:26" x14ac:dyDescent="0.25">
      <c r="A136" s="1" t="s">
        <v>937</v>
      </c>
      <c r="J136" t="str">
        <f t="shared" si="20"/>
        <v xml:space="preserve">         6.1        0.23      0.3937      0.1258      0.0733       0.006       0.100       0.154              </v>
      </c>
      <c r="S136">
        <v>6.1</v>
      </c>
      <c r="T136">
        <v>0.23</v>
      </c>
      <c r="U136">
        <v>0.39369999999999999</v>
      </c>
      <c r="V136">
        <v>0.1258</v>
      </c>
      <c r="W136">
        <v>7.3300000000000004E-2</v>
      </c>
      <c r="X136">
        <v>6.0000000000000001E-3</v>
      </c>
      <c r="Y136">
        <v>0.1</v>
      </c>
      <c r="Z136">
        <v>0.154</v>
      </c>
    </row>
    <row r="137" spans="1:26" x14ac:dyDescent="0.25">
      <c r="A137" s="1" t="s">
        <v>938</v>
      </c>
      <c r="J137" t="str">
        <f t="shared" si="20"/>
        <v xml:space="preserve">         7.0        0.26      0.4390      0.1237      0.0739       0.006       0.101       0.151              </v>
      </c>
      <c r="S137">
        <v>7</v>
      </c>
      <c r="T137">
        <v>0.26</v>
      </c>
      <c r="U137">
        <v>0.439</v>
      </c>
      <c r="V137">
        <v>0.1237</v>
      </c>
      <c r="W137">
        <v>7.3899999999999993E-2</v>
      </c>
      <c r="X137">
        <v>6.0000000000000001E-3</v>
      </c>
      <c r="Y137">
        <v>0.10100000000000001</v>
      </c>
      <c r="Z137">
        <v>0.151</v>
      </c>
    </row>
    <row r="138" spans="1:26" x14ac:dyDescent="0.25">
      <c r="A138" s="1" t="s">
        <v>939</v>
      </c>
      <c r="J138" t="str">
        <f t="shared" si="20"/>
        <v xml:space="preserve">         7.8        0.30      0.4815      0.1213      0.0743       0.006       0.101       0.148              </v>
      </c>
      <c r="S138">
        <v>7.8</v>
      </c>
      <c r="T138">
        <v>0.3</v>
      </c>
      <c r="U138">
        <v>0.48149999999999998</v>
      </c>
      <c r="V138">
        <v>0.12130000000000001</v>
      </c>
      <c r="W138">
        <v>7.4300000000000005E-2</v>
      </c>
      <c r="X138">
        <v>6.0000000000000001E-3</v>
      </c>
      <c r="Y138">
        <v>0.10100000000000001</v>
      </c>
      <c r="Z138">
        <v>0.14799999999999999</v>
      </c>
    </row>
    <row r="139" spans="1:26" x14ac:dyDescent="0.25">
      <c r="A139" s="1" t="s">
        <v>940</v>
      </c>
      <c r="J139" t="str">
        <f t="shared" si="20"/>
        <v xml:space="preserve">         8.7        0.33      0.5213      0.1183      0.0744       0.006       0.101       0.145              </v>
      </c>
      <c r="S139">
        <v>8.6999999999999993</v>
      </c>
      <c r="T139">
        <v>0.33</v>
      </c>
      <c r="U139">
        <v>0.52129999999999999</v>
      </c>
      <c r="V139">
        <v>0.1183</v>
      </c>
      <c r="W139">
        <v>7.4399999999999994E-2</v>
      </c>
      <c r="X139">
        <v>6.0000000000000001E-3</v>
      </c>
      <c r="Y139">
        <v>0.10100000000000001</v>
      </c>
      <c r="Z139">
        <v>0.14499999999999999</v>
      </c>
    </row>
    <row r="140" spans="1:26" x14ac:dyDescent="0.25">
      <c r="A140" s="1" t="s">
        <v>941</v>
      </c>
      <c r="J140" t="str">
        <f t="shared" si="20"/>
        <v xml:space="preserve">         9.6        0.36      0.5582      0.1149      0.0742       0.006       0.101       0.141              </v>
      </c>
      <c r="S140">
        <v>9.6</v>
      </c>
      <c r="T140">
        <v>0.36</v>
      </c>
      <c r="U140">
        <v>0.55820000000000003</v>
      </c>
      <c r="V140">
        <v>0.1149</v>
      </c>
      <c r="W140">
        <v>7.4200000000000002E-2</v>
      </c>
      <c r="X140">
        <v>6.0000000000000001E-3</v>
      </c>
      <c r="Y140">
        <v>0.10100000000000001</v>
      </c>
      <c r="Z140">
        <v>0.14099999999999999</v>
      </c>
    </row>
    <row r="141" spans="1:26" x14ac:dyDescent="0.25">
      <c r="A141" s="1" t="s">
        <v>942</v>
      </c>
      <c r="J141" t="str">
        <f t="shared" si="20"/>
        <v xml:space="preserve">        10.4        0.39      0.5923      0.1109      0.0737       0.006       0.100       0.136              </v>
      </c>
      <c r="S141">
        <v>10.4</v>
      </c>
      <c r="T141">
        <v>0.39</v>
      </c>
      <c r="U141">
        <v>0.59230000000000005</v>
      </c>
      <c r="V141">
        <v>0.1109</v>
      </c>
      <c r="W141">
        <v>7.3700000000000002E-2</v>
      </c>
      <c r="X141">
        <v>6.0000000000000001E-3</v>
      </c>
      <c r="Y141">
        <v>0.1</v>
      </c>
      <c r="Z141">
        <v>0.13600000000000001</v>
      </c>
    </row>
    <row r="142" spans="1:26" x14ac:dyDescent="0.25">
      <c r="A142" s="1" t="s">
        <v>943</v>
      </c>
      <c r="J142" t="str">
        <f t="shared" si="20"/>
        <v xml:space="preserve">        11.3        0.43      0.6234      0.1064      0.0728       0.006       0.099       0.130              </v>
      </c>
      <c r="S142">
        <v>11.3</v>
      </c>
      <c r="T142">
        <v>0.43</v>
      </c>
      <c r="U142">
        <v>0.62339999999999995</v>
      </c>
      <c r="V142">
        <v>0.10639999999999999</v>
      </c>
      <c r="W142">
        <v>7.2800000000000004E-2</v>
      </c>
      <c r="X142">
        <v>6.0000000000000001E-3</v>
      </c>
      <c r="Y142">
        <v>9.9000000000000005E-2</v>
      </c>
      <c r="Z142">
        <v>0.13</v>
      </c>
    </row>
    <row r="143" spans="1:26" x14ac:dyDescent="0.25">
      <c r="A143" s="1" t="s">
        <v>944</v>
      </c>
      <c r="J143" t="str">
        <f t="shared" si="20"/>
        <v xml:space="preserve">        12.2        0.46      0.6516      0.1014      0.0715       0.006       0.097       0.124              </v>
      </c>
      <c r="S143">
        <v>12.2</v>
      </c>
      <c r="T143">
        <v>0.46</v>
      </c>
      <c r="U143">
        <v>0.65159999999999996</v>
      </c>
      <c r="V143">
        <v>0.1014</v>
      </c>
      <c r="W143">
        <v>7.1499999999999994E-2</v>
      </c>
      <c r="X143">
        <v>6.0000000000000001E-3</v>
      </c>
      <c r="Y143">
        <v>9.7000000000000003E-2</v>
      </c>
      <c r="Z143">
        <v>0.124</v>
      </c>
    </row>
    <row r="144" spans="1:26" x14ac:dyDescent="0.25">
      <c r="A144" s="1" t="s">
        <v>945</v>
      </c>
      <c r="J144" t="str">
        <f t="shared" si="20"/>
        <v xml:space="preserve">        13.0        0.49      0.6766      0.0960      0.0698       0.006       0.095       0.117              </v>
      </c>
      <c r="S144">
        <v>13</v>
      </c>
      <c r="T144">
        <v>0.49</v>
      </c>
      <c r="U144">
        <v>0.67659999999999998</v>
      </c>
      <c r="V144">
        <v>9.6000000000000002E-2</v>
      </c>
      <c r="W144">
        <v>6.9800000000000001E-2</v>
      </c>
      <c r="X144">
        <v>6.0000000000000001E-3</v>
      </c>
      <c r="Y144">
        <v>9.5000000000000001E-2</v>
      </c>
      <c r="Z144">
        <v>0.11700000000000001</v>
      </c>
    </row>
    <row r="145" spans="1:26" x14ac:dyDescent="0.25">
      <c r="A145" s="1" t="s">
        <v>946</v>
      </c>
      <c r="J145" t="str">
        <f t="shared" si="20"/>
        <v xml:space="preserve">        13.9        0.52      0.6986      0.0901      0.0677       0.006       0.092       0.110              </v>
      </c>
      <c r="S145">
        <v>13.9</v>
      </c>
      <c r="T145">
        <v>0.52</v>
      </c>
      <c r="U145">
        <v>0.6986</v>
      </c>
      <c r="V145">
        <v>9.01E-2</v>
      </c>
      <c r="W145">
        <v>6.7699999999999996E-2</v>
      </c>
      <c r="X145">
        <v>6.0000000000000001E-3</v>
      </c>
      <c r="Y145">
        <v>9.1999999999999998E-2</v>
      </c>
      <c r="Z145">
        <v>0.11</v>
      </c>
    </row>
    <row r="146" spans="1:26" x14ac:dyDescent="0.25">
      <c r="A146" s="1" t="s">
        <v>947</v>
      </c>
      <c r="J146" t="str">
        <f t="shared" si="20"/>
        <v xml:space="preserve">        14.8        0.56      0.7174      0.0841      0.0653       0.006       0.089       0.103              </v>
      </c>
      <c r="S146">
        <v>14.8</v>
      </c>
      <c r="T146">
        <v>0.56000000000000005</v>
      </c>
      <c r="U146">
        <v>0.71740000000000004</v>
      </c>
      <c r="V146">
        <v>8.4099999999999994E-2</v>
      </c>
      <c r="W146">
        <v>6.5299999999999997E-2</v>
      </c>
      <c r="X146">
        <v>6.0000000000000001E-3</v>
      </c>
      <c r="Y146">
        <v>8.8999999999999996E-2</v>
      </c>
      <c r="Z146">
        <v>0.10299999999999999</v>
      </c>
    </row>
    <row r="147" spans="1:26" x14ac:dyDescent="0.25">
      <c r="A147" s="1" t="s">
        <v>948</v>
      </c>
      <c r="J147" t="str">
        <f t="shared" si="20"/>
        <v xml:space="preserve">        15.6        0.59      0.7334      0.0779      0.0627       0.005       0.085       0.095              </v>
      </c>
      <c r="S147">
        <v>15.6</v>
      </c>
      <c r="T147">
        <v>0.59</v>
      </c>
      <c r="U147">
        <v>0.73340000000000005</v>
      </c>
      <c r="V147">
        <v>7.7899999999999997E-2</v>
      </c>
      <c r="W147">
        <v>6.2700000000000006E-2</v>
      </c>
      <c r="X147">
        <v>5.0000000000000001E-3</v>
      </c>
      <c r="Y147">
        <v>8.5000000000000006E-2</v>
      </c>
      <c r="Z147">
        <v>9.5000000000000001E-2</v>
      </c>
    </row>
    <row r="148" spans="1:26" x14ac:dyDescent="0.25">
      <c r="A148" s="1" t="s">
        <v>949</v>
      </c>
      <c r="J148" t="str">
        <f t="shared" si="20"/>
        <v xml:space="preserve">        16.5        0.62      0.7467      0.0716      0.0597       0.005       0.081       0.088              </v>
      </c>
      <c r="S148">
        <v>16.5</v>
      </c>
      <c r="T148">
        <v>0.62</v>
      </c>
      <c r="U148">
        <v>0.74670000000000003</v>
      </c>
      <c r="V148">
        <v>7.1599999999999997E-2</v>
      </c>
      <c r="W148">
        <v>5.9700000000000003E-2</v>
      </c>
      <c r="X148">
        <v>5.0000000000000001E-3</v>
      </c>
      <c r="Y148">
        <v>8.1000000000000003E-2</v>
      </c>
      <c r="Z148">
        <v>8.7999999999999995E-2</v>
      </c>
    </row>
    <row r="149" spans="1:26" x14ac:dyDescent="0.25">
      <c r="A149" s="1" t="s">
        <v>950</v>
      </c>
      <c r="J149" t="str">
        <f t="shared" si="20"/>
        <v xml:space="preserve">        17.4        0.66      0.7576      0.0651      0.0564       0.005       0.077       0.080              </v>
      </c>
      <c r="S149">
        <v>17.399999999999999</v>
      </c>
      <c r="T149">
        <v>0.66</v>
      </c>
      <c r="U149">
        <v>0.75760000000000005</v>
      </c>
      <c r="V149">
        <v>6.5100000000000005E-2</v>
      </c>
      <c r="W149">
        <v>5.6399999999999999E-2</v>
      </c>
      <c r="X149">
        <v>5.0000000000000001E-3</v>
      </c>
      <c r="Y149">
        <v>7.6999999999999999E-2</v>
      </c>
      <c r="Z149">
        <v>0.08</v>
      </c>
    </row>
    <row r="150" spans="1:26" x14ac:dyDescent="0.25">
      <c r="A150" s="1" t="s">
        <v>951</v>
      </c>
      <c r="J150" t="str">
        <f t="shared" si="20"/>
        <v xml:space="preserve">        18.3        0.69      0.7663      0.0585      0.0526       0.005       0.072       0.072              </v>
      </c>
      <c r="S150">
        <v>18.3</v>
      </c>
      <c r="T150">
        <v>0.69</v>
      </c>
      <c r="U150">
        <v>0.76629999999999998</v>
      </c>
      <c r="V150">
        <v>5.8500000000000003E-2</v>
      </c>
      <c r="W150">
        <v>5.2600000000000001E-2</v>
      </c>
      <c r="X150">
        <v>5.0000000000000001E-3</v>
      </c>
      <c r="Y150">
        <v>7.1999999999999995E-2</v>
      </c>
      <c r="Z150">
        <v>7.1999999999999995E-2</v>
      </c>
    </row>
    <row r="151" spans="1:26" x14ac:dyDescent="0.25">
      <c r="A151" s="1" t="s">
        <v>952</v>
      </c>
      <c r="J151" t="str">
        <f t="shared" si="20"/>
        <v xml:space="preserve">        19.1        0.72      0.7727      0.0517      0.0483       0.004       0.066       0.063              </v>
      </c>
      <c r="S151">
        <v>19.100000000000001</v>
      </c>
      <c r="T151">
        <v>0.72</v>
      </c>
      <c r="U151">
        <v>0.77270000000000005</v>
      </c>
      <c r="V151">
        <v>5.1700000000000003E-2</v>
      </c>
      <c r="W151">
        <v>4.8300000000000003E-2</v>
      </c>
      <c r="X151">
        <v>4.0000000000000001E-3</v>
      </c>
      <c r="Y151">
        <v>6.6000000000000003E-2</v>
      </c>
      <c r="Z151">
        <v>6.3E-2</v>
      </c>
    </row>
    <row r="152" spans="1:26" x14ac:dyDescent="0.25">
      <c r="A152" s="1" t="s">
        <v>953</v>
      </c>
      <c r="J152" t="str">
        <f t="shared" si="20"/>
        <v xml:space="preserve">        20.0        0.75      0.7762      0.0447      0.0434       0.004       0.059       0.055              </v>
      </c>
      <c r="S152">
        <v>20</v>
      </c>
      <c r="T152">
        <v>0.75</v>
      </c>
      <c r="U152">
        <v>0.7762</v>
      </c>
      <c r="V152">
        <v>4.4699999999999997E-2</v>
      </c>
      <c r="W152">
        <v>4.3400000000000001E-2</v>
      </c>
      <c r="X152">
        <v>4.0000000000000001E-3</v>
      </c>
      <c r="Y152">
        <v>5.8999999999999997E-2</v>
      </c>
      <c r="Z152">
        <v>5.5E-2</v>
      </c>
    </row>
    <row r="153" spans="1:26" x14ac:dyDescent="0.25">
      <c r="A153" s="1" t="s">
        <v>954</v>
      </c>
      <c r="J153" t="str">
        <f t="shared" si="20"/>
        <v xml:space="preserve">        20.9        0.79      0.7755      0.0376      0.0381       0.003       0.052       0.046              </v>
      </c>
      <c r="S153">
        <v>20.9</v>
      </c>
      <c r="T153">
        <v>0.79</v>
      </c>
      <c r="U153">
        <v>0.77549999999999997</v>
      </c>
      <c r="V153">
        <v>3.7600000000000001E-2</v>
      </c>
      <c r="W153">
        <v>3.8100000000000002E-2</v>
      </c>
      <c r="X153">
        <v>3.0000000000000001E-3</v>
      </c>
      <c r="Y153">
        <v>5.1999999999999998E-2</v>
      </c>
      <c r="Z153">
        <v>4.5999999999999999E-2</v>
      </c>
    </row>
    <row r="154" spans="1:26" x14ac:dyDescent="0.25">
      <c r="A154" s="1" t="s">
        <v>955</v>
      </c>
      <c r="J154" t="str">
        <f t="shared" si="20"/>
        <v xml:space="preserve">        21.7        0.82      0.7681      0.0302      0.0323       0.003       0.044       0.037              </v>
      </c>
      <c r="S154">
        <v>21.7</v>
      </c>
      <c r="T154">
        <v>0.82</v>
      </c>
      <c r="U154">
        <v>0.7681</v>
      </c>
      <c r="V154">
        <v>3.0200000000000001E-2</v>
      </c>
      <c r="W154">
        <v>3.2300000000000002E-2</v>
      </c>
      <c r="X154">
        <v>3.0000000000000001E-3</v>
      </c>
      <c r="Y154">
        <v>4.3999999999999997E-2</v>
      </c>
      <c r="Z154">
        <v>3.6999999999999998E-2</v>
      </c>
    </row>
    <row r="155" spans="1:26" x14ac:dyDescent="0.25">
      <c r="A155" s="1" t="s">
        <v>956</v>
      </c>
      <c r="J155" t="str">
        <f t="shared" si="20"/>
        <v xml:space="preserve">        22.6        0.85      0.7460      0.0228      0.0260       0.002       0.035       0.028              </v>
      </c>
      <c r="S155">
        <v>22.6</v>
      </c>
      <c r="T155">
        <v>0.85</v>
      </c>
      <c r="U155">
        <v>0.746</v>
      </c>
      <c r="V155">
        <v>2.2800000000000001E-2</v>
      </c>
      <c r="W155">
        <v>2.5999999999999999E-2</v>
      </c>
      <c r="X155">
        <v>2E-3</v>
      </c>
      <c r="Y155">
        <v>3.5000000000000003E-2</v>
      </c>
      <c r="Z155">
        <v>2.8000000000000001E-2</v>
      </c>
    </row>
    <row r="156" spans="1:26" x14ac:dyDescent="0.25">
      <c r="A156" s="1" t="s">
        <v>957</v>
      </c>
      <c r="J156" t="str">
        <f t="shared" si="20"/>
        <v xml:space="preserve">        23.5        0.89      0.6937      0.0152      0.0195       0.002       0.027       0.019              </v>
      </c>
      <c r="S156">
        <v>23.5</v>
      </c>
      <c r="T156">
        <v>0.89</v>
      </c>
      <c r="U156">
        <v>0.69369999999999998</v>
      </c>
      <c r="V156">
        <v>1.52E-2</v>
      </c>
      <c r="W156">
        <v>1.95E-2</v>
      </c>
      <c r="X156">
        <v>2E-3</v>
      </c>
      <c r="Y156">
        <v>2.7E-2</v>
      </c>
      <c r="Z156">
        <v>1.9E-2</v>
      </c>
    </row>
    <row r="157" spans="1:26" x14ac:dyDescent="0.25">
      <c r="A157" s="1" t="s">
        <v>958</v>
      </c>
      <c r="J157" t="str">
        <f t="shared" si="20"/>
        <v xml:space="preserve">        24.3        0.92      0.5585      0.0076      0.0125       0.001       0.017       0.009              </v>
      </c>
      <c r="S157">
        <v>24.3</v>
      </c>
      <c r="T157">
        <v>0.92</v>
      </c>
      <c r="U157">
        <v>0.5585</v>
      </c>
      <c r="V157">
        <v>7.6E-3</v>
      </c>
      <c r="W157">
        <v>1.2500000000000001E-2</v>
      </c>
      <c r="X157">
        <v>1E-3</v>
      </c>
      <c r="Y157">
        <v>1.7000000000000001E-2</v>
      </c>
      <c r="Z157">
        <v>8.9999999999999993E-3</v>
      </c>
    </row>
    <row r="158" spans="1:26" x14ac:dyDescent="0.25">
      <c r="A158" s="1" t="s">
        <v>959</v>
      </c>
      <c r="J158" t="str">
        <f t="shared" si="20"/>
        <v xml:space="preserve">        25.2        0.95     -0.0028      0.0000      0.0060       0.001       0.008       0.000              </v>
      </c>
      <c r="S158">
        <v>25.2</v>
      </c>
      <c r="T158">
        <v>0.95</v>
      </c>
      <c r="U158">
        <v>-2.8E-3</v>
      </c>
      <c r="V158">
        <v>0</v>
      </c>
      <c r="W158">
        <v>6.0000000000000001E-3</v>
      </c>
      <c r="X158">
        <v>1E-3</v>
      </c>
      <c r="Y158">
        <v>8.0000000000000002E-3</v>
      </c>
      <c r="Z158">
        <v>0</v>
      </c>
    </row>
    <row r="159" spans="1:26" x14ac:dyDescent="0.25">
      <c r="A159" s="1" t="s">
        <v>1</v>
      </c>
    </row>
    <row r="160" spans="1:26" x14ac:dyDescent="0.25">
      <c r="A160" s="1" t="s">
        <v>1</v>
      </c>
    </row>
    <row r="161" spans="1:29" x14ac:dyDescent="0.25">
      <c r="A161" s="1" t="s">
        <v>1</v>
      </c>
    </row>
    <row r="162" spans="1:29" x14ac:dyDescent="0.25">
      <c r="A162" s="1" t="s">
        <v>134</v>
      </c>
      <c r="J162" s="43" t="s">
        <v>1786</v>
      </c>
      <c r="S162">
        <v>5000</v>
      </c>
      <c r="AC162" t="str">
        <f>CONCATENATE($V$16,$AC$13,S162)</f>
        <v>Ct@5000</v>
      </c>
    </row>
    <row r="163" spans="1:29" x14ac:dyDescent="0.25">
      <c r="A163" s="1" t="s">
        <v>1</v>
      </c>
    </row>
    <row r="164" spans="1:29" x14ac:dyDescent="0.25">
      <c r="A164" s="1" t="s">
        <v>9</v>
      </c>
      <c r="J164" t="str">
        <f>A164</f>
        <v xml:space="preserve">         V          J           Pe         Ct          Cp          PWR         Torque      Thrust             </v>
      </c>
      <c r="S164" t="s">
        <v>662</v>
      </c>
      <c r="T164" t="s">
        <v>663</v>
      </c>
      <c r="U164" t="s">
        <v>664</v>
      </c>
      <c r="V164" t="s">
        <v>665</v>
      </c>
      <c r="W164" t="s">
        <v>666</v>
      </c>
      <c r="X164" t="s">
        <v>667</v>
      </c>
      <c r="Y164" t="s">
        <v>668</v>
      </c>
      <c r="Z164" t="s">
        <v>669</v>
      </c>
    </row>
    <row r="165" spans="1:29" x14ac:dyDescent="0.25">
      <c r="A165" s="1" t="s">
        <v>10</v>
      </c>
      <c r="J165" t="str">
        <f t="shared" ref="J165:J195" si="21">A165</f>
        <v xml:space="preserve">       (mph)     (Adv Ratio)                                       (Hp)        (In-Lbf)     (Lbf)             </v>
      </c>
      <c r="S165" t="s">
        <v>670</v>
      </c>
      <c r="T165" t="s">
        <v>1780</v>
      </c>
      <c r="U165" t="s">
        <v>1781</v>
      </c>
      <c r="V165" t="s">
        <v>672</v>
      </c>
      <c r="W165" t="s">
        <v>673</v>
      </c>
      <c r="X165" t="s">
        <v>674</v>
      </c>
    </row>
    <row r="166" spans="1:29" x14ac:dyDescent="0.25">
      <c r="A166" s="1" t="s">
        <v>960</v>
      </c>
      <c r="J166" t="str">
        <f t="shared" si="21"/>
        <v xml:space="preserve">         0.0        0.00      0.0000      0.1321      0.0660       0.011       0.141       0.253              </v>
      </c>
      <c r="S166">
        <v>0</v>
      </c>
      <c r="T166">
        <v>0</v>
      </c>
      <c r="U166">
        <v>0</v>
      </c>
      <c r="V166">
        <v>0.1321</v>
      </c>
      <c r="W166">
        <v>6.6000000000000003E-2</v>
      </c>
      <c r="X166">
        <v>1.0999999999999999E-2</v>
      </c>
      <c r="Y166">
        <v>0.14099999999999999</v>
      </c>
      <c r="Z166">
        <v>0.253</v>
      </c>
    </row>
    <row r="167" spans="1:29" x14ac:dyDescent="0.25">
      <c r="A167" s="1" t="s">
        <v>961</v>
      </c>
      <c r="J167" t="str">
        <f t="shared" si="21"/>
        <v xml:space="preserve">         1.1        0.03      0.0643      0.1317      0.0671       0.011       0.143       0.252              </v>
      </c>
      <c r="S167">
        <v>1.1000000000000001</v>
      </c>
      <c r="T167">
        <v>0.03</v>
      </c>
      <c r="U167">
        <v>6.4299999999999996E-2</v>
      </c>
      <c r="V167">
        <v>0.13170000000000001</v>
      </c>
      <c r="W167">
        <v>6.7100000000000007E-2</v>
      </c>
      <c r="X167">
        <v>1.0999999999999999E-2</v>
      </c>
      <c r="Y167">
        <v>0.14299999999999999</v>
      </c>
      <c r="Z167">
        <v>0.252</v>
      </c>
    </row>
    <row r="168" spans="1:29" x14ac:dyDescent="0.25">
      <c r="A168" s="1" t="s">
        <v>962</v>
      </c>
      <c r="J168" t="str">
        <f t="shared" si="21"/>
        <v xml:space="preserve">         2.2        0.07      0.1260      0.1312      0.0683       0.012       0.145       0.251              </v>
      </c>
      <c r="S168">
        <v>2.2000000000000002</v>
      </c>
      <c r="T168">
        <v>7.0000000000000007E-2</v>
      </c>
      <c r="U168">
        <v>0.126</v>
      </c>
      <c r="V168">
        <v>0.13120000000000001</v>
      </c>
      <c r="W168">
        <v>6.83E-2</v>
      </c>
      <c r="X168">
        <v>1.2E-2</v>
      </c>
      <c r="Y168">
        <v>0.14499999999999999</v>
      </c>
      <c r="Z168">
        <v>0.251</v>
      </c>
    </row>
    <row r="169" spans="1:29" x14ac:dyDescent="0.25">
      <c r="A169" s="1" t="s">
        <v>963</v>
      </c>
      <c r="J169" t="str">
        <f t="shared" si="21"/>
        <v xml:space="preserve">         3.3        0.10      0.1850      0.1306      0.0694       0.012       0.148       0.250              </v>
      </c>
      <c r="S169">
        <v>3.3</v>
      </c>
      <c r="T169">
        <v>0.1</v>
      </c>
      <c r="U169">
        <v>0.185</v>
      </c>
      <c r="V169">
        <v>0.13059999999999999</v>
      </c>
      <c r="W169">
        <v>6.9400000000000003E-2</v>
      </c>
      <c r="X169">
        <v>1.2E-2</v>
      </c>
      <c r="Y169">
        <v>0.14799999999999999</v>
      </c>
      <c r="Z169">
        <v>0.25</v>
      </c>
    </row>
    <row r="170" spans="1:29" x14ac:dyDescent="0.25">
      <c r="A170" s="1" t="s">
        <v>964</v>
      </c>
      <c r="J170" t="str">
        <f t="shared" si="21"/>
        <v xml:space="preserve">         4.3        0.13      0.2412      0.1298      0.0706       0.012       0.150       0.248              </v>
      </c>
      <c r="S170">
        <v>4.3</v>
      </c>
      <c r="T170">
        <v>0.13</v>
      </c>
      <c r="U170">
        <v>0.2412</v>
      </c>
      <c r="V170">
        <v>0.1298</v>
      </c>
      <c r="W170">
        <v>7.0599999999999996E-2</v>
      </c>
      <c r="X170">
        <v>1.2E-2</v>
      </c>
      <c r="Y170">
        <v>0.15</v>
      </c>
      <c r="Z170">
        <v>0.248</v>
      </c>
    </row>
    <row r="171" spans="1:29" x14ac:dyDescent="0.25">
      <c r="A171" s="1" t="s">
        <v>965</v>
      </c>
      <c r="J171" t="str">
        <f t="shared" si="21"/>
        <v xml:space="preserve">         5.4        0.16      0.2947      0.1288      0.0716       0.012       0.153       0.246              </v>
      </c>
      <c r="S171">
        <v>5.4</v>
      </c>
      <c r="T171">
        <v>0.16</v>
      </c>
      <c r="U171">
        <v>0.29470000000000002</v>
      </c>
      <c r="V171">
        <v>0.1288</v>
      </c>
      <c r="W171">
        <v>7.1599999999999997E-2</v>
      </c>
      <c r="X171">
        <v>1.2E-2</v>
      </c>
      <c r="Y171">
        <v>0.153</v>
      </c>
      <c r="Z171">
        <v>0.246</v>
      </c>
    </row>
    <row r="172" spans="1:29" x14ac:dyDescent="0.25">
      <c r="A172" s="1" t="s">
        <v>966</v>
      </c>
      <c r="J172" t="str">
        <f t="shared" si="21"/>
        <v xml:space="preserve">         6.5        0.20      0.3455      0.1275      0.0726       0.012       0.155       0.244              </v>
      </c>
      <c r="S172">
        <v>6.5</v>
      </c>
      <c r="T172">
        <v>0.2</v>
      </c>
      <c r="U172">
        <v>0.34549999999999997</v>
      </c>
      <c r="V172">
        <v>0.1275</v>
      </c>
      <c r="W172">
        <v>7.2599999999999998E-2</v>
      </c>
      <c r="X172">
        <v>1.2E-2</v>
      </c>
      <c r="Y172">
        <v>0.155</v>
      </c>
      <c r="Z172">
        <v>0.24399999999999999</v>
      </c>
    </row>
    <row r="173" spans="1:29" x14ac:dyDescent="0.25">
      <c r="A173" s="1" t="s">
        <v>967</v>
      </c>
      <c r="J173" t="str">
        <f t="shared" si="21"/>
        <v xml:space="preserve">         7.6        0.23      0.3935      0.1259      0.0734       0.012       0.156       0.241              </v>
      </c>
      <c r="S173">
        <v>7.6</v>
      </c>
      <c r="T173">
        <v>0.23</v>
      </c>
      <c r="U173">
        <v>0.39350000000000002</v>
      </c>
      <c r="V173">
        <v>0.12590000000000001</v>
      </c>
      <c r="W173">
        <v>7.3400000000000007E-2</v>
      </c>
      <c r="X173">
        <v>1.2E-2</v>
      </c>
      <c r="Y173">
        <v>0.156</v>
      </c>
      <c r="Z173">
        <v>0.24099999999999999</v>
      </c>
    </row>
    <row r="174" spans="1:29" x14ac:dyDescent="0.25">
      <c r="A174" s="1" t="s">
        <v>968</v>
      </c>
      <c r="J174" t="str">
        <f t="shared" si="21"/>
        <v xml:space="preserve">         8.7        0.26      0.4388      0.1239      0.0740       0.013       0.158       0.237              </v>
      </c>
      <c r="S174">
        <v>8.6999999999999993</v>
      </c>
      <c r="T174">
        <v>0.26</v>
      </c>
      <c r="U174">
        <v>0.43880000000000002</v>
      </c>
      <c r="V174">
        <v>0.1239</v>
      </c>
      <c r="W174">
        <v>7.3999999999999996E-2</v>
      </c>
      <c r="X174">
        <v>1.2999999999999999E-2</v>
      </c>
      <c r="Y174">
        <v>0.158</v>
      </c>
      <c r="Z174">
        <v>0.23699999999999999</v>
      </c>
    </row>
    <row r="175" spans="1:29" x14ac:dyDescent="0.25">
      <c r="A175" s="1" t="s">
        <v>969</v>
      </c>
      <c r="J175" t="str">
        <f t="shared" si="21"/>
        <v xml:space="preserve">         9.8        0.30      0.4814      0.1214      0.0744       0.013       0.158       0.232              </v>
      </c>
      <c r="S175">
        <v>9.8000000000000007</v>
      </c>
      <c r="T175">
        <v>0.3</v>
      </c>
      <c r="U175">
        <v>0.48139999999999999</v>
      </c>
      <c r="V175">
        <v>0.12139999999999999</v>
      </c>
      <c r="W175">
        <v>7.4399999999999994E-2</v>
      </c>
      <c r="X175">
        <v>1.2999999999999999E-2</v>
      </c>
      <c r="Y175">
        <v>0.158</v>
      </c>
      <c r="Z175">
        <v>0.23200000000000001</v>
      </c>
    </row>
    <row r="176" spans="1:29" x14ac:dyDescent="0.25">
      <c r="A176" s="1" t="s">
        <v>970</v>
      </c>
      <c r="J176" t="str">
        <f t="shared" si="21"/>
        <v xml:space="preserve">        10.9        0.33      0.5211      0.1184      0.0745       0.013       0.159       0.226              </v>
      </c>
      <c r="S176">
        <v>10.9</v>
      </c>
      <c r="T176">
        <v>0.33</v>
      </c>
      <c r="U176">
        <v>0.52110000000000001</v>
      </c>
      <c r="V176">
        <v>0.11840000000000001</v>
      </c>
      <c r="W176">
        <v>7.4499999999999997E-2</v>
      </c>
      <c r="X176">
        <v>1.2999999999999999E-2</v>
      </c>
      <c r="Y176">
        <v>0.159</v>
      </c>
      <c r="Z176">
        <v>0.22600000000000001</v>
      </c>
    </row>
    <row r="177" spans="1:26" x14ac:dyDescent="0.25">
      <c r="A177" s="1" t="s">
        <v>971</v>
      </c>
      <c r="J177" t="str">
        <f t="shared" si="21"/>
        <v xml:space="preserve">        12.0        0.36      0.5580      0.1150      0.0743       0.013       0.158       0.220              </v>
      </c>
      <c r="S177">
        <v>12</v>
      </c>
      <c r="T177">
        <v>0.36</v>
      </c>
      <c r="U177">
        <v>0.55800000000000005</v>
      </c>
      <c r="V177">
        <v>0.115</v>
      </c>
      <c r="W177">
        <v>7.4300000000000005E-2</v>
      </c>
      <c r="X177">
        <v>1.2999999999999999E-2</v>
      </c>
      <c r="Y177">
        <v>0.158</v>
      </c>
      <c r="Z177">
        <v>0.22</v>
      </c>
    </row>
    <row r="178" spans="1:26" x14ac:dyDescent="0.25">
      <c r="A178" s="1" t="s">
        <v>972</v>
      </c>
      <c r="J178" t="str">
        <f t="shared" si="21"/>
        <v xml:space="preserve">        13.0        0.39      0.5921      0.1110      0.0738       0.012       0.157       0.212              </v>
      </c>
      <c r="S178">
        <v>13</v>
      </c>
      <c r="T178">
        <v>0.39</v>
      </c>
      <c r="U178">
        <v>0.59209999999999996</v>
      </c>
      <c r="V178">
        <v>0.111</v>
      </c>
      <c r="W178">
        <v>7.3800000000000004E-2</v>
      </c>
      <c r="X178">
        <v>1.2E-2</v>
      </c>
      <c r="Y178">
        <v>0.157</v>
      </c>
      <c r="Z178">
        <v>0.21199999999999999</v>
      </c>
    </row>
    <row r="179" spans="1:26" x14ac:dyDescent="0.25">
      <c r="A179" s="1" t="s">
        <v>973</v>
      </c>
      <c r="J179" t="str">
        <f t="shared" si="21"/>
        <v xml:space="preserve">        14.1        0.43      0.6233      0.1066      0.0729       0.012       0.155       0.204              </v>
      </c>
      <c r="S179">
        <v>14.1</v>
      </c>
      <c r="T179">
        <v>0.43</v>
      </c>
      <c r="U179">
        <v>0.62329999999999997</v>
      </c>
      <c r="V179">
        <v>0.1066</v>
      </c>
      <c r="W179">
        <v>7.2900000000000006E-2</v>
      </c>
      <c r="X179">
        <v>1.2E-2</v>
      </c>
      <c r="Y179">
        <v>0.155</v>
      </c>
      <c r="Z179">
        <v>0.20399999999999999</v>
      </c>
    </row>
    <row r="180" spans="1:26" x14ac:dyDescent="0.25">
      <c r="A180" s="1" t="s">
        <v>974</v>
      </c>
      <c r="J180" t="str">
        <f t="shared" si="21"/>
        <v xml:space="preserve">        15.2        0.46      0.6515      0.1016      0.0716       0.012       0.152       0.194              </v>
      </c>
      <c r="S180">
        <v>15.2</v>
      </c>
      <c r="T180">
        <v>0.46</v>
      </c>
      <c r="U180">
        <v>0.65149999999999997</v>
      </c>
      <c r="V180">
        <v>0.1016</v>
      </c>
      <c r="W180">
        <v>7.1599999999999997E-2</v>
      </c>
      <c r="X180">
        <v>1.2E-2</v>
      </c>
      <c r="Y180">
        <v>0.152</v>
      </c>
      <c r="Z180">
        <v>0.19400000000000001</v>
      </c>
    </row>
    <row r="181" spans="1:26" x14ac:dyDescent="0.25">
      <c r="A181" s="1" t="s">
        <v>975</v>
      </c>
      <c r="J181" t="str">
        <f t="shared" si="21"/>
        <v xml:space="preserve">        16.3        0.49      0.6765      0.0961      0.0699       0.012       0.149       0.184              </v>
      </c>
      <c r="S181">
        <v>16.3</v>
      </c>
      <c r="T181">
        <v>0.49</v>
      </c>
      <c r="U181">
        <v>0.67649999999999999</v>
      </c>
      <c r="V181">
        <v>9.6100000000000005E-2</v>
      </c>
      <c r="W181">
        <v>6.9900000000000004E-2</v>
      </c>
      <c r="X181">
        <v>1.2E-2</v>
      </c>
      <c r="Y181">
        <v>0.14899999999999999</v>
      </c>
      <c r="Z181">
        <v>0.184</v>
      </c>
    </row>
    <row r="182" spans="1:26" x14ac:dyDescent="0.25">
      <c r="A182" s="1" t="s">
        <v>976</v>
      </c>
      <c r="J182" t="str">
        <f t="shared" si="21"/>
        <v xml:space="preserve">        17.4        0.52      0.6985      0.0902      0.0678       0.011       0.144       0.173              </v>
      </c>
      <c r="S182">
        <v>17.399999999999999</v>
      </c>
      <c r="T182">
        <v>0.52</v>
      </c>
      <c r="U182">
        <v>0.69850000000000001</v>
      </c>
      <c r="V182">
        <v>9.0200000000000002E-2</v>
      </c>
      <c r="W182">
        <v>6.7799999999999999E-2</v>
      </c>
      <c r="X182">
        <v>1.0999999999999999E-2</v>
      </c>
      <c r="Y182">
        <v>0.14399999999999999</v>
      </c>
      <c r="Z182">
        <v>0.17299999999999999</v>
      </c>
    </row>
    <row r="183" spans="1:26" x14ac:dyDescent="0.25">
      <c r="A183" s="1" t="s">
        <v>977</v>
      </c>
      <c r="J183" t="str">
        <f t="shared" si="21"/>
        <v xml:space="preserve">        18.5        0.56      0.7174      0.0842      0.0654       0.011       0.139       0.161              </v>
      </c>
      <c r="S183">
        <v>18.5</v>
      </c>
      <c r="T183">
        <v>0.56000000000000005</v>
      </c>
      <c r="U183">
        <v>0.71740000000000004</v>
      </c>
      <c r="V183">
        <v>8.4199999999999997E-2</v>
      </c>
      <c r="W183">
        <v>6.54E-2</v>
      </c>
      <c r="X183">
        <v>1.0999999999999999E-2</v>
      </c>
      <c r="Y183">
        <v>0.13900000000000001</v>
      </c>
      <c r="Z183">
        <v>0.161</v>
      </c>
    </row>
    <row r="184" spans="1:26" x14ac:dyDescent="0.25">
      <c r="A184" s="1" t="s">
        <v>978</v>
      </c>
      <c r="J184" t="str">
        <f t="shared" si="21"/>
        <v xml:space="preserve">        19.6        0.59      0.7334      0.0780      0.0628       0.011       0.134       0.149              </v>
      </c>
      <c r="S184">
        <v>19.600000000000001</v>
      </c>
      <c r="T184">
        <v>0.59</v>
      </c>
      <c r="U184">
        <v>0.73340000000000005</v>
      </c>
      <c r="V184">
        <v>7.8E-2</v>
      </c>
      <c r="W184">
        <v>6.2799999999999995E-2</v>
      </c>
      <c r="X184">
        <v>1.0999999999999999E-2</v>
      </c>
      <c r="Y184">
        <v>0.13400000000000001</v>
      </c>
      <c r="Z184">
        <v>0.14899999999999999</v>
      </c>
    </row>
    <row r="185" spans="1:26" x14ac:dyDescent="0.25">
      <c r="A185" s="1" t="s">
        <v>979</v>
      </c>
      <c r="J185" t="str">
        <f t="shared" si="21"/>
        <v xml:space="preserve">        20.6        0.62      0.7467      0.0717      0.0598       0.010       0.127       0.137              </v>
      </c>
      <c r="S185">
        <v>20.6</v>
      </c>
      <c r="T185">
        <v>0.62</v>
      </c>
      <c r="U185">
        <v>0.74670000000000003</v>
      </c>
      <c r="V185">
        <v>7.17E-2</v>
      </c>
      <c r="W185">
        <v>5.9799999999999999E-2</v>
      </c>
      <c r="X185">
        <v>0.01</v>
      </c>
      <c r="Y185">
        <v>0.127</v>
      </c>
      <c r="Z185">
        <v>0.13700000000000001</v>
      </c>
    </row>
    <row r="186" spans="1:26" x14ac:dyDescent="0.25">
      <c r="A186" s="1" t="s">
        <v>980</v>
      </c>
      <c r="J186" t="str">
        <f t="shared" si="21"/>
        <v xml:space="preserve">        21.7        0.66      0.7576      0.0652      0.0565       0.010       0.120       0.125              </v>
      </c>
      <c r="S186">
        <v>21.7</v>
      </c>
      <c r="T186">
        <v>0.66</v>
      </c>
      <c r="U186">
        <v>0.75760000000000005</v>
      </c>
      <c r="V186">
        <v>6.5199999999999994E-2</v>
      </c>
      <c r="W186">
        <v>5.6500000000000002E-2</v>
      </c>
      <c r="X186">
        <v>0.01</v>
      </c>
      <c r="Y186">
        <v>0.12</v>
      </c>
      <c r="Z186">
        <v>0.125</v>
      </c>
    </row>
    <row r="187" spans="1:26" x14ac:dyDescent="0.25">
      <c r="A187" s="1" t="s">
        <v>981</v>
      </c>
      <c r="J187" t="str">
        <f t="shared" si="21"/>
        <v xml:space="preserve">        22.8        0.69      0.7663      0.0586      0.0526       0.009       0.112       0.112              </v>
      </c>
      <c r="S187">
        <v>22.8</v>
      </c>
      <c r="T187">
        <v>0.69</v>
      </c>
      <c r="U187">
        <v>0.76629999999999998</v>
      </c>
      <c r="V187">
        <v>5.8599999999999999E-2</v>
      </c>
      <c r="W187">
        <v>5.2600000000000001E-2</v>
      </c>
      <c r="X187">
        <v>8.9999999999999993E-3</v>
      </c>
      <c r="Y187">
        <v>0.112</v>
      </c>
      <c r="Z187">
        <v>0.112</v>
      </c>
    </row>
    <row r="188" spans="1:26" x14ac:dyDescent="0.25">
      <c r="A188" s="1" t="s">
        <v>982</v>
      </c>
      <c r="J188" t="str">
        <f t="shared" si="21"/>
        <v xml:space="preserve">        23.9        0.72      0.7728      0.0518      0.0483       0.008       0.103       0.099              </v>
      </c>
      <c r="S188">
        <v>23.9</v>
      </c>
      <c r="T188">
        <v>0.72</v>
      </c>
      <c r="U188">
        <v>0.77280000000000004</v>
      </c>
      <c r="V188">
        <v>5.1799999999999999E-2</v>
      </c>
      <c r="W188">
        <v>4.8300000000000003E-2</v>
      </c>
      <c r="X188">
        <v>8.0000000000000002E-3</v>
      </c>
      <c r="Y188">
        <v>0.10299999999999999</v>
      </c>
      <c r="Z188">
        <v>9.9000000000000005E-2</v>
      </c>
    </row>
    <row r="189" spans="1:26" x14ac:dyDescent="0.25">
      <c r="A189" s="1" t="s">
        <v>983</v>
      </c>
      <c r="J189" t="str">
        <f t="shared" si="21"/>
        <v xml:space="preserve">        25.0        0.75      0.7762      0.0448      0.0435       0.007       0.093       0.086              </v>
      </c>
      <c r="S189">
        <v>25</v>
      </c>
      <c r="T189">
        <v>0.75</v>
      </c>
      <c r="U189">
        <v>0.7762</v>
      </c>
      <c r="V189">
        <v>4.48E-2</v>
      </c>
      <c r="W189">
        <v>4.3499999999999997E-2</v>
      </c>
      <c r="X189">
        <v>7.0000000000000001E-3</v>
      </c>
      <c r="Y189">
        <v>9.2999999999999999E-2</v>
      </c>
      <c r="Z189">
        <v>8.5999999999999993E-2</v>
      </c>
    </row>
    <row r="190" spans="1:26" x14ac:dyDescent="0.25">
      <c r="A190" s="1" t="s">
        <v>984</v>
      </c>
      <c r="J190" t="str">
        <f t="shared" si="21"/>
        <v xml:space="preserve">        26.1        0.79      0.7757      0.0376      0.0382       0.006       0.081       0.072              </v>
      </c>
      <c r="S190">
        <v>26.1</v>
      </c>
      <c r="T190">
        <v>0.79</v>
      </c>
      <c r="U190">
        <v>0.77569999999999995</v>
      </c>
      <c r="V190">
        <v>3.7600000000000001E-2</v>
      </c>
      <c r="W190">
        <v>3.8199999999999998E-2</v>
      </c>
      <c r="X190">
        <v>6.0000000000000001E-3</v>
      </c>
      <c r="Y190">
        <v>8.1000000000000003E-2</v>
      </c>
      <c r="Z190">
        <v>7.1999999999999995E-2</v>
      </c>
    </row>
    <row r="191" spans="1:26" x14ac:dyDescent="0.25">
      <c r="A191" s="1" t="s">
        <v>985</v>
      </c>
      <c r="J191" t="str">
        <f t="shared" si="21"/>
        <v xml:space="preserve">        27.2        0.82      0.7683      0.0303      0.0323       0.005       0.069       0.058              </v>
      </c>
      <c r="S191">
        <v>27.2</v>
      </c>
      <c r="T191">
        <v>0.82</v>
      </c>
      <c r="U191">
        <v>0.76829999999999998</v>
      </c>
      <c r="V191">
        <v>3.0300000000000001E-2</v>
      </c>
      <c r="W191">
        <v>3.2300000000000002E-2</v>
      </c>
      <c r="X191">
        <v>5.0000000000000001E-3</v>
      </c>
      <c r="Y191">
        <v>6.9000000000000006E-2</v>
      </c>
      <c r="Z191">
        <v>5.8000000000000003E-2</v>
      </c>
    </row>
    <row r="192" spans="1:26" x14ac:dyDescent="0.25">
      <c r="A192" s="1" t="s">
        <v>986</v>
      </c>
      <c r="J192" t="str">
        <f t="shared" si="21"/>
        <v xml:space="preserve">        28.3        0.85      0.7463      0.0228      0.0261       0.004       0.056       0.044              </v>
      </c>
      <c r="S192">
        <v>28.3</v>
      </c>
      <c r="T192">
        <v>0.85</v>
      </c>
      <c r="U192">
        <v>0.74629999999999996</v>
      </c>
      <c r="V192">
        <v>2.2800000000000001E-2</v>
      </c>
      <c r="W192">
        <v>2.6100000000000002E-2</v>
      </c>
      <c r="X192">
        <v>4.0000000000000001E-3</v>
      </c>
      <c r="Y192">
        <v>5.6000000000000001E-2</v>
      </c>
      <c r="Z192">
        <v>4.3999999999999997E-2</v>
      </c>
    </row>
    <row r="193" spans="1:29" x14ac:dyDescent="0.25">
      <c r="A193" s="1" t="s">
        <v>987</v>
      </c>
      <c r="J193" t="str">
        <f t="shared" si="21"/>
        <v xml:space="preserve">        29.3        0.89      0.6941      0.0153      0.0195       0.003       0.042       0.029              </v>
      </c>
      <c r="S193">
        <v>29.3</v>
      </c>
      <c r="T193">
        <v>0.89</v>
      </c>
      <c r="U193">
        <v>0.69410000000000005</v>
      </c>
      <c r="V193">
        <v>1.5299999999999999E-2</v>
      </c>
      <c r="W193">
        <v>1.95E-2</v>
      </c>
      <c r="X193">
        <v>3.0000000000000001E-3</v>
      </c>
      <c r="Y193">
        <v>4.2000000000000003E-2</v>
      </c>
      <c r="Z193">
        <v>2.9000000000000001E-2</v>
      </c>
    </row>
    <row r="194" spans="1:29" x14ac:dyDescent="0.25">
      <c r="A194" s="1" t="s">
        <v>988</v>
      </c>
      <c r="J194" t="str">
        <f t="shared" si="21"/>
        <v xml:space="preserve">        30.4        0.92      0.5590      0.0077      0.0126       0.002       0.027       0.015              </v>
      </c>
      <c r="S194">
        <v>30.4</v>
      </c>
      <c r="T194">
        <v>0.92</v>
      </c>
      <c r="U194">
        <v>0.55900000000000005</v>
      </c>
      <c r="V194">
        <v>7.7000000000000002E-3</v>
      </c>
      <c r="W194">
        <v>1.26E-2</v>
      </c>
      <c r="X194">
        <v>2E-3</v>
      </c>
      <c r="Y194">
        <v>2.7E-2</v>
      </c>
      <c r="Z194">
        <v>1.4999999999999999E-2</v>
      </c>
    </row>
    <row r="195" spans="1:29" x14ac:dyDescent="0.25">
      <c r="A195" s="1" t="s">
        <v>989</v>
      </c>
      <c r="J195" t="str">
        <f t="shared" si="21"/>
        <v xml:space="preserve">        31.5        0.95     -0.0040      0.0000      0.0060       0.001       0.013       0.000              </v>
      </c>
      <c r="S195">
        <v>31.5</v>
      </c>
      <c r="T195">
        <v>0.95</v>
      </c>
      <c r="U195">
        <v>-4.0000000000000001E-3</v>
      </c>
      <c r="V195">
        <v>0</v>
      </c>
      <c r="W195">
        <v>6.0000000000000001E-3</v>
      </c>
      <c r="X195">
        <v>1E-3</v>
      </c>
      <c r="Y195">
        <v>1.2999999999999999E-2</v>
      </c>
      <c r="Z195">
        <v>0</v>
      </c>
    </row>
    <row r="196" spans="1:29" x14ac:dyDescent="0.25">
      <c r="A196" s="1" t="s">
        <v>1</v>
      </c>
    </row>
    <row r="197" spans="1:29" x14ac:dyDescent="0.25">
      <c r="A197" s="1" t="s">
        <v>1</v>
      </c>
    </row>
    <row r="198" spans="1:29" x14ac:dyDescent="0.25">
      <c r="A198" s="1" t="s">
        <v>1</v>
      </c>
    </row>
    <row r="199" spans="1:29" x14ac:dyDescent="0.25">
      <c r="A199" s="1" t="s">
        <v>165</v>
      </c>
      <c r="J199" s="43" t="s">
        <v>1787</v>
      </c>
      <c r="S199">
        <v>6000</v>
      </c>
      <c r="AC199" t="str">
        <f>CONCATENATE($V$16,$AC$13,S199)</f>
        <v>Ct@6000</v>
      </c>
    </row>
    <row r="200" spans="1:29" x14ac:dyDescent="0.25">
      <c r="A200" s="1" t="s">
        <v>1</v>
      </c>
    </row>
    <row r="201" spans="1:29" x14ac:dyDescent="0.25">
      <c r="A201" s="1" t="s">
        <v>9</v>
      </c>
      <c r="J201" t="str">
        <f>A201</f>
        <v xml:space="preserve">         V          J           Pe         Ct          Cp          PWR         Torque      Thrust             </v>
      </c>
      <c r="S201" t="s">
        <v>662</v>
      </c>
      <c r="T201" t="s">
        <v>663</v>
      </c>
      <c r="U201" t="s">
        <v>664</v>
      </c>
      <c r="V201" t="s">
        <v>665</v>
      </c>
      <c r="W201" t="s">
        <v>666</v>
      </c>
      <c r="X201" t="s">
        <v>667</v>
      </c>
      <c r="Y201" t="s">
        <v>668</v>
      </c>
      <c r="Z201" t="s">
        <v>669</v>
      </c>
    </row>
    <row r="202" spans="1:29" x14ac:dyDescent="0.25">
      <c r="A202" s="1" t="s">
        <v>10</v>
      </c>
      <c r="J202" t="str">
        <f t="shared" ref="J202:J232" si="22">A202</f>
        <v xml:space="preserve">       (mph)     (Adv Ratio)                                       (Hp)        (In-Lbf)     (Lbf)             </v>
      </c>
      <c r="S202" t="s">
        <v>670</v>
      </c>
      <c r="T202" t="s">
        <v>1780</v>
      </c>
      <c r="U202" t="s">
        <v>1781</v>
      </c>
      <c r="V202" t="s">
        <v>672</v>
      </c>
      <c r="W202" t="s">
        <v>673</v>
      </c>
      <c r="X202" t="s">
        <v>674</v>
      </c>
    </row>
    <row r="203" spans="1:29" x14ac:dyDescent="0.25">
      <c r="A203" s="1" t="s">
        <v>990</v>
      </c>
      <c r="J203" t="str">
        <f t="shared" si="22"/>
        <v xml:space="preserve">         0.0        0.00      0.0000      0.1322      0.0661       0.019       0.203       0.364              </v>
      </c>
      <c r="S203">
        <v>0</v>
      </c>
      <c r="T203">
        <v>0</v>
      </c>
      <c r="U203">
        <v>0</v>
      </c>
      <c r="V203">
        <v>0.13220000000000001</v>
      </c>
      <c r="W203">
        <v>6.6100000000000006E-2</v>
      </c>
      <c r="X203">
        <v>1.9E-2</v>
      </c>
      <c r="Y203">
        <v>0.20300000000000001</v>
      </c>
      <c r="Z203">
        <v>0.36399999999999999</v>
      </c>
    </row>
    <row r="204" spans="1:29" x14ac:dyDescent="0.25">
      <c r="A204" s="1" t="s">
        <v>991</v>
      </c>
      <c r="J204" t="str">
        <f t="shared" si="22"/>
        <v xml:space="preserve">         1.3        0.03      0.0643      0.1317      0.0672       0.020       0.206       0.363              </v>
      </c>
      <c r="S204">
        <v>1.3</v>
      </c>
      <c r="T204">
        <v>0.03</v>
      </c>
      <c r="U204">
        <v>6.4299999999999996E-2</v>
      </c>
      <c r="V204">
        <v>0.13170000000000001</v>
      </c>
      <c r="W204">
        <v>6.7199999999999996E-2</v>
      </c>
      <c r="X204">
        <v>0.02</v>
      </c>
      <c r="Y204">
        <v>0.20599999999999999</v>
      </c>
      <c r="Z204">
        <v>0.36299999999999999</v>
      </c>
    </row>
    <row r="205" spans="1:29" x14ac:dyDescent="0.25">
      <c r="A205" s="1" t="s">
        <v>992</v>
      </c>
      <c r="J205" t="str">
        <f t="shared" si="22"/>
        <v xml:space="preserve">         2.6        0.07      0.1259      0.1312      0.0684       0.020       0.210       0.361              </v>
      </c>
      <c r="S205">
        <v>2.6</v>
      </c>
      <c r="T205">
        <v>7.0000000000000007E-2</v>
      </c>
      <c r="U205">
        <v>0.12590000000000001</v>
      </c>
      <c r="V205">
        <v>0.13120000000000001</v>
      </c>
      <c r="W205">
        <v>6.8400000000000002E-2</v>
      </c>
      <c r="X205">
        <v>0.02</v>
      </c>
      <c r="Y205">
        <v>0.21</v>
      </c>
      <c r="Z205">
        <v>0.36099999999999999</v>
      </c>
    </row>
    <row r="206" spans="1:29" x14ac:dyDescent="0.25">
      <c r="A206" s="1" t="s">
        <v>993</v>
      </c>
      <c r="J206" t="str">
        <f t="shared" si="22"/>
        <v xml:space="preserve">         3.9        0.10      0.1848      0.1306      0.0695       0.020       0.213       0.360              </v>
      </c>
      <c r="S206">
        <v>3.9</v>
      </c>
      <c r="T206">
        <v>0.1</v>
      </c>
      <c r="U206">
        <v>0.18479999999999999</v>
      </c>
      <c r="V206">
        <v>0.13059999999999999</v>
      </c>
      <c r="W206">
        <v>6.9500000000000006E-2</v>
      </c>
      <c r="X206">
        <v>0.02</v>
      </c>
      <c r="Y206">
        <v>0.21299999999999999</v>
      </c>
      <c r="Z206">
        <v>0.36</v>
      </c>
    </row>
    <row r="207" spans="1:29" x14ac:dyDescent="0.25">
      <c r="A207" s="1" t="s">
        <v>994</v>
      </c>
      <c r="J207" t="str">
        <f t="shared" si="22"/>
        <v xml:space="preserve">         5.2        0.13      0.2410      0.1299      0.0707       0.021       0.217       0.358              </v>
      </c>
      <c r="S207">
        <v>5.2</v>
      </c>
      <c r="T207">
        <v>0.13</v>
      </c>
      <c r="U207">
        <v>0.24099999999999999</v>
      </c>
      <c r="V207">
        <v>0.12989999999999999</v>
      </c>
      <c r="W207">
        <v>7.0699999999999999E-2</v>
      </c>
      <c r="X207">
        <v>2.1000000000000001E-2</v>
      </c>
      <c r="Y207">
        <v>0.217</v>
      </c>
      <c r="Z207">
        <v>0.35799999999999998</v>
      </c>
    </row>
    <row r="208" spans="1:29" x14ac:dyDescent="0.25">
      <c r="A208" s="1" t="s">
        <v>995</v>
      </c>
      <c r="J208" t="str">
        <f t="shared" si="22"/>
        <v xml:space="preserve">         6.5        0.16      0.2944      0.1289      0.0717       0.021       0.220       0.355              </v>
      </c>
      <c r="S208">
        <v>6.5</v>
      </c>
      <c r="T208">
        <v>0.16</v>
      </c>
      <c r="U208">
        <v>0.2944</v>
      </c>
      <c r="V208">
        <v>0.12889999999999999</v>
      </c>
      <c r="W208">
        <v>7.17E-2</v>
      </c>
      <c r="X208">
        <v>2.1000000000000001E-2</v>
      </c>
      <c r="Y208">
        <v>0.22</v>
      </c>
      <c r="Z208">
        <v>0.35499999999999998</v>
      </c>
    </row>
    <row r="209" spans="1:26" x14ac:dyDescent="0.25">
      <c r="A209" s="1" t="s">
        <v>996</v>
      </c>
      <c r="J209" t="str">
        <f t="shared" si="22"/>
        <v xml:space="preserve">         7.8        0.20      0.3452      0.1276      0.0727       0.021       0.223       0.351              </v>
      </c>
      <c r="S209">
        <v>7.8</v>
      </c>
      <c r="T209">
        <v>0.2</v>
      </c>
      <c r="U209">
        <v>0.34520000000000001</v>
      </c>
      <c r="V209">
        <v>0.12759999999999999</v>
      </c>
      <c r="W209">
        <v>7.2700000000000001E-2</v>
      </c>
      <c r="X209">
        <v>2.1000000000000001E-2</v>
      </c>
      <c r="Y209">
        <v>0.223</v>
      </c>
      <c r="Z209">
        <v>0.35099999999999998</v>
      </c>
    </row>
    <row r="210" spans="1:26" x14ac:dyDescent="0.25">
      <c r="A210" s="1" t="s">
        <v>997</v>
      </c>
      <c r="J210" t="str">
        <f t="shared" si="22"/>
        <v xml:space="preserve">         9.1        0.23      0.3932      0.1260      0.0735       0.021       0.226       0.347              </v>
      </c>
      <c r="S210">
        <v>9.1</v>
      </c>
      <c r="T210">
        <v>0.23</v>
      </c>
      <c r="U210">
        <v>0.39319999999999999</v>
      </c>
      <c r="V210">
        <v>0.126</v>
      </c>
      <c r="W210">
        <v>7.3499999999999996E-2</v>
      </c>
      <c r="X210">
        <v>2.1000000000000001E-2</v>
      </c>
      <c r="Y210">
        <v>0.22600000000000001</v>
      </c>
      <c r="Z210">
        <v>0.34699999999999998</v>
      </c>
    </row>
    <row r="211" spans="1:26" x14ac:dyDescent="0.25">
      <c r="A211" s="1" t="s">
        <v>998</v>
      </c>
      <c r="J211" t="str">
        <f t="shared" si="22"/>
        <v xml:space="preserve">        10.4        0.26      0.4385      0.1240      0.0741       0.022       0.227       0.341              </v>
      </c>
      <c r="S211">
        <v>10.4</v>
      </c>
      <c r="T211">
        <v>0.26</v>
      </c>
      <c r="U211">
        <v>0.4385</v>
      </c>
      <c r="V211">
        <v>0.124</v>
      </c>
      <c r="W211">
        <v>7.4099999999999999E-2</v>
      </c>
      <c r="X211">
        <v>2.1999999999999999E-2</v>
      </c>
      <c r="Y211">
        <v>0.22700000000000001</v>
      </c>
      <c r="Z211">
        <v>0.34100000000000003</v>
      </c>
    </row>
    <row r="212" spans="1:26" x14ac:dyDescent="0.25">
      <c r="A212" s="1" t="s">
        <v>999</v>
      </c>
      <c r="J212" t="str">
        <f t="shared" si="22"/>
        <v xml:space="preserve">        11.7        0.29      0.4811      0.1215      0.0745       0.022       0.229       0.335              </v>
      </c>
      <c r="S212">
        <v>11.7</v>
      </c>
      <c r="T212">
        <v>0.28999999999999998</v>
      </c>
      <c r="U212">
        <v>0.48110000000000003</v>
      </c>
      <c r="V212">
        <v>0.1215</v>
      </c>
      <c r="W212">
        <v>7.4499999999999997E-2</v>
      </c>
      <c r="X212">
        <v>2.1999999999999999E-2</v>
      </c>
      <c r="Y212">
        <v>0.22900000000000001</v>
      </c>
      <c r="Z212">
        <v>0.33500000000000002</v>
      </c>
    </row>
    <row r="213" spans="1:26" x14ac:dyDescent="0.25">
      <c r="A213" s="1" t="s">
        <v>1000</v>
      </c>
      <c r="J213" t="str">
        <f t="shared" si="22"/>
        <v xml:space="preserve">        13.0        0.33      0.5209      0.1186      0.0746       0.022       0.229       0.327              </v>
      </c>
      <c r="S213">
        <v>13</v>
      </c>
      <c r="T213">
        <v>0.33</v>
      </c>
      <c r="U213">
        <v>0.52090000000000003</v>
      </c>
      <c r="V213">
        <v>0.1186</v>
      </c>
      <c r="W213">
        <v>7.46E-2</v>
      </c>
      <c r="X213">
        <v>2.1999999999999999E-2</v>
      </c>
      <c r="Y213">
        <v>0.22900000000000001</v>
      </c>
      <c r="Z213">
        <v>0.32700000000000001</v>
      </c>
    </row>
    <row r="214" spans="1:26" x14ac:dyDescent="0.25">
      <c r="A214" s="1" t="s">
        <v>1001</v>
      </c>
      <c r="J214" t="str">
        <f t="shared" si="22"/>
        <v xml:space="preserve">        14.3        0.36      0.5578      0.1152      0.0744       0.022       0.228       0.317              </v>
      </c>
      <c r="S214">
        <v>14.3</v>
      </c>
      <c r="T214">
        <v>0.36</v>
      </c>
      <c r="U214">
        <v>0.55779999999999996</v>
      </c>
      <c r="V214">
        <v>0.1152</v>
      </c>
      <c r="W214">
        <v>7.4399999999999994E-2</v>
      </c>
      <c r="X214">
        <v>2.1999999999999999E-2</v>
      </c>
      <c r="Y214">
        <v>0.22800000000000001</v>
      </c>
      <c r="Z214">
        <v>0.317</v>
      </c>
    </row>
    <row r="215" spans="1:26" x14ac:dyDescent="0.25">
      <c r="A215" s="1" t="s">
        <v>1002</v>
      </c>
      <c r="J215" t="str">
        <f t="shared" si="22"/>
        <v xml:space="preserve">        15.6        0.39      0.5919      0.1112      0.0739       0.022       0.227       0.306              </v>
      </c>
      <c r="S215">
        <v>15.6</v>
      </c>
      <c r="T215">
        <v>0.39</v>
      </c>
      <c r="U215">
        <v>0.59189999999999998</v>
      </c>
      <c r="V215">
        <v>0.11119999999999999</v>
      </c>
      <c r="W215">
        <v>7.3899999999999993E-2</v>
      </c>
      <c r="X215">
        <v>2.1999999999999999E-2</v>
      </c>
      <c r="Y215">
        <v>0.22700000000000001</v>
      </c>
      <c r="Z215">
        <v>0.30599999999999999</v>
      </c>
    </row>
    <row r="216" spans="1:26" x14ac:dyDescent="0.25">
      <c r="A216" s="1" t="s">
        <v>1003</v>
      </c>
      <c r="J216" t="str">
        <f t="shared" si="22"/>
        <v xml:space="preserve">        16.9        0.43      0.6231      0.1067      0.0730       0.021       0.224       0.294              </v>
      </c>
      <c r="S216">
        <v>16.899999999999999</v>
      </c>
      <c r="T216">
        <v>0.43</v>
      </c>
      <c r="U216">
        <v>0.62309999999999999</v>
      </c>
      <c r="V216">
        <v>0.1067</v>
      </c>
      <c r="W216">
        <v>7.2999999999999995E-2</v>
      </c>
      <c r="X216">
        <v>2.1000000000000001E-2</v>
      </c>
      <c r="Y216">
        <v>0.224</v>
      </c>
      <c r="Z216">
        <v>0.29399999999999998</v>
      </c>
    </row>
    <row r="217" spans="1:26" x14ac:dyDescent="0.25">
      <c r="A217" s="1" t="s">
        <v>1004</v>
      </c>
      <c r="J217" t="str">
        <f t="shared" si="22"/>
        <v xml:space="preserve">        18.3        0.46      0.6513      0.1017      0.0717       0.021       0.220       0.280              </v>
      </c>
      <c r="S217">
        <v>18.3</v>
      </c>
      <c r="T217">
        <v>0.46</v>
      </c>
      <c r="U217">
        <v>0.65129999999999999</v>
      </c>
      <c r="V217">
        <v>0.1017</v>
      </c>
      <c r="W217">
        <v>7.17E-2</v>
      </c>
      <c r="X217">
        <v>2.1000000000000001E-2</v>
      </c>
      <c r="Y217">
        <v>0.22</v>
      </c>
      <c r="Z217">
        <v>0.28000000000000003</v>
      </c>
    </row>
    <row r="218" spans="1:26" x14ac:dyDescent="0.25">
      <c r="A218" s="1" t="s">
        <v>1005</v>
      </c>
      <c r="J218" t="str">
        <f t="shared" si="22"/>
        <v xml:space="preserve">        19.6        0.49      0.6764      0.0963      0.0700       0.020       0.215       0.265              </v>
      </c>
      <c r="S218">
        <v>19.600000000000001</v>
      </c>
      <c r="T218">
        <v>0.49</v>
      </c>
      <c r="U218">
        <v>0.6764</v>
      </c>
      <c r="V218">
        <v>9.6299999999999997E-2</v>
      </c>
      <c r="W218">
        <v>7.0000000000000007E-2</v>
      </c>
      <c r="X218">
        <v>0.02</v>
      </c>
      <c r="Y218">
        <v>0.215</v>
      </c>
      <c r="Z218">
        <v>0.26500000000000001</v>
      </c>
    </row>
    <row r="219" spans="1:26" x14ac:dyDescent="0.25">
      <c r="A219" s="1" t="s">
        <v>1006</v>
      </c>
      <c r="J219" t="str">
        <f t="shared" si="22"/>
        <v xml:space="preserve">        20.9        0.52      0.6984      0.0904      0.0679       0.020       0.208       0.249              </v>
      </c>
      <c r="S219">
        <v>20.9</v>
      </c>
      <c r="T219">
        <v>0.52</v>
      </c>
      <c r="U219">
        <v>0.69840000000000002</v>
      </c>
      <c r="V219">
        <v>9.0399999999999994E-2</v>
      </c>
      <c r="W219">
        <v>6.7900000000000002E-2</v>
      </c>
      <c r="X219">
        <v>0.02</v>
      </c>
      <c r="Y219">
        <v>0.20799999999999999</v>
      </c>
      <c r="Z219">
        <v>0.249</v>
      </c>
    </row>
    <row r="220" spans="1:26" x14ac:dyDescent="0.25">
      <c r="A220" s="1" t="s">
        <v>1007</v>
      </c>
      <c r="J220" t="str">
        <f t="shared" si="22"/>
        <v xml:space="preserve">        22.2        0.56      0.7173      0.0843      0.0655       0.019       0.201       0.232              </v>
      </c>
      <c r="S220">
        <v>22.2</v>
      </c>
      <c r="T220">
        <v>0.56000000000000005</v>
      </c>
      <c r="U220">
        <v>0.71730000000000005</v>
      </c>
      <c r="V220">
        <v>8.43E-2</v>
      </c>
      <c r="W220">
        <v>6.5500000000000003E-2</v>
      </c>
      <c r="X220">
        <v>1.9E-2</v>
      </c>
      <c r="Y220">
        <v>0.20100000000000001</v>
      </c>
      <c r="Z220">
        <v>0.23200000000000001</v>
      </c>
    </row>
    <row r="221" spans="1:26" x14ac:dyDescent="0.25">
      <c r="A221" s="1" t="s">
        <v>1008</v>
      </c>
      <c r="J221" t="str">
        <f t="shared" si="22"/>
        <v xml:space="preserve">        23.5        0.59      0.7334      0.0781      0.0629       0.018       0.193       0.215              </v>
      </c>
      <c r="S221">
        <v>23.5</v>
      </c>
      <c r="T221">
        <v>0.59</v>
      </c>
      <c r="U221">
        <v>0.73340000000000005</v>
      </c>
      <c r="V221">
        <v>7.8100000000000003E-2</v>
      </c>
      <c r="W221">
        <v>6.2899999999999998E-2</v>
      </c>
      <c r="X221">
        <v>1.7999999999999999E-2</v>
      </c>
      <c r="Y221">
        <v>0.193</v>
      </c>
      <c r="Z221">
        <v>0.215</v>
      </c>
    </row>
    <row r="222" spans="1:26" x14ac:dyDescent="0.25">
      <c r="A222" s="1" t="s">
        <v>1009</v>
      </c>
      <c r="J222" t="str">
        <f t="shared" si="22"/>
        <v xml:space="preserve">        24.8        0.62      0.7467      0.0718      0.0599       0.017       0.184       0.198              </v>
      </c>
      <c r="S222">
        <v>24.8</v>
      </c>
      <c r="T222">
        <v>0.62</v>
      </c>
      <c r="U222">
        <v>0.74670000000000003</v>
      </c>
      <c r="V222">
        <v>7.1800000000000003E-2</v>
      </c>
      <c r="W222">
        <v>5.9900000000000002E-2</v>
      </c>
      <c r="X222">
        <v>1.7000000000000001E-2</v>
      </c>
      <c r="Y222">
        <v>0.184</v>
      </c>
      <c r="Z222">
        <v>0.19800000000000001</v>
      </c>
    </row>
    <row r="223" spans="1:26" x14ac:dyDescent="0.25">
      <c r="A223" s="1" t="s">
        <v>1010</v>
      </c>
      <c r="J223" t="str">
        <f t="shared" si="22"/>
        <v xml:space="preserve">        26.1        0.66      0.7576      0.0654      0.0566       0.017       0.174       0.180              </v>
      </c>
      <c r="S223">
        <v>26.1</v>
      </c>
      <c r="T223">
        <v>0.66</v>
      </c>
      <c r="U223">
        <v>0.75760000000000005</v>
      </c>
      <c r="V223">
        <v>6.54E-2</v>
      </c>
      <c r="W223">
        <v>5.6599999999999998E-2</v>
      </c>
      <c r="X223">
        <v>1.7000000000000001E-2</v>
      </c>
      <c r="Y223">
        <v>0.17399999999999999</v>
      </c>
      <c r="Z223">
        <v>0.18</v>
      </c>
    </row>
    <row r="224" spans="1:26" x14ac:dyDescent="0.25">
      <c r="A224" s="1" t="s">
        <v>1011</v>
      </c>
      <c r="J224" t="str">
        <f t="shared" si="22"/>
        <v xml:space="preserve">        27.4        0.69      0.7663      0.0587      0.0528       0.015       0.162       0.162              </v>
      </c>
      <c r="S224">
        <v>27.4</v>
      </c>
      <c r="T224">
        <v>0.69</v>
      </c>
      <c r="U224">
        <v>0.76629999999999998</v>
      </c>
      <c r="V224">
        <v>5.8700000000000002E-2</v>
      </c>
      <c r="W224">
        <v>5.28E-2</v>
      </c>
      <c r="X224">
        <v>1.4999999999999999E-2</v>
      </c>
      <c r="Y224">
        <v>0.16200000000000001</v>
      </c>
      <c r="Z224">
        <v>0.16200000000000001</v>
      </c>
    </row>
    <row r="225" spans="1:29" x14ac:dyDescent="0.25">
      <c r="A225" s="1" t="s">
        <v>1012</v>
      </c>
      <c r="J225" t="str">
        <f t="shared" si="22"/>
        <v xml:space="preserve">        28.7        0.72      0.7728      0.0519      0.0484       0.014       0.149       0.143              </v>
      </c>
      <c r="S225">
        <v>28.7</v>
      </c>
      <c r="T225">
        <v>0.72</v>
      </c>
      <c r="U225">
        <v>0.77280000000000004</v>
      </c>
      <c r="V225">
        <v>5.1900000000000002E-2</v>
      </c>
      <c r="W225">
        <v>4.8399999999999999E-2</v>
      </c>
      <c r="X225">
        <v>1.4E-2</v>
      </c>
      <c r="Y225">
        <v>0.14899999999999999</v>
      </c>
      <c r="Z225">
        <v>0.14299999999999999</v>
      </c>
    </row>
    <row r="226" spans="1:29" x14ac:dyDescent="0.25">
      <c r="A226" s="1" t="s">
        <v>1013</v>
      </c>
      <c r="J226" t="str">
        <f t="shared" si="22"/>
        <v xml:space="preserve">        30.0        0.75      0.7763      0.0449      0.0436       0.013       0.134       0.124              </v>
      </c>
      <c r="S226">
        <v>30</v>
      </c>
      <c r="T226">
        <v>0.75</v>
      </c>
      <c r="U226">
        <v>0.77629999999999999</v>
      </c>
      <c r="V226">
        <v>4.4900000000000002E-2</v>
      </c>
      <c r="W226">
        <v>4.36E-2</v>
      </c>
      <c r="X226">
        <v>1.2999999999999999E-2</v>
      </c>
      <c r="Y226">
        <v>0.13400000000000001</v>
      </c>
      <c r="Z226">
        <v>0.124</v>
      </c>
    </row>
    <row r="227" spans="1:29" x14ac:dyDescent="0.25">
      <c r="A227" s="1" t="s">
        <v>1014</v>
      </c>
      <c r="J227" t="str">
        <f t="shared" si="22"/>
        <v xml:space="preserve">        31.3        0.79      0.7758      0.0378      0.0383       0.011       0.117       0.104              </v>
      </c>
      <c r="S227">
        <v>31.3</v>
      </c>
      <c r="T227">
        <v>0.79</v>
      </c>
      <c r="U227">
        <v>0.77580000000000005</v>
      </c>
      <c r="V227">
        <v>3.78E-2</v>
      </c>
      <c r="W227">
        <v>3.8300000000000001E-2</v>
      </c>
      <c r="X227">
        <v>1.0999999999999999E-2</v>
      </c>
      <c r="Y227">
        <v>0.11700000000000001</v>
      </c>
      <c r="Z227">
        <v>0.104</v>
      </c>
    </row>
    <row r="228" spans="1:29" x14ac:dyDescent="0.25">
      <c r="A228" s="1" t="s">
        <v>1015</v>
      </c>
      <c r="J228" t="str">
        <f t="shared" si="22"/>
        <v xml:space="preserve">        32.6        0.82      0.7686      0.0304      0.0324       0.009       0.099       0.084              </v>
      </c>
      <c r="S228">
        <v>32.6</v>
      </c>
      <c r="T228">
        <v>0.82</v>
      </c>
      <c r="U228">
        <v>0.76859999999999995</v>
      </c>
      <c r="V228">
        <v>3.04E-2</v>
      </c>
      <c r="W228">
        <v>3.2399999999999998E-2</v>
      </c>
      <c r="X228">
        <v>8.9999999999999993E-3</v>
      </c>
      <c r="Y228">
        <v>9.9000000000000005E-2</v>
      </c>
      <c r="Z228">
        <v>8.4000000000000005E-2</v>
      </c>
    </row>
    <row r="229" spans="1:29" x14ac:dyDescent="0.25">
      <c r="A229" s="1" t="s">
        <v>1016</v>
      </c>
      <c r="J229" t="str">
        <f t="shared" si="22"/>
        <v xml:space="preserve">        33.9        0.85      0.7467      0.0229      0.0261       0.008       0.080       0.063              </v>
      </c>
      <c r="S229">
        <v>33.9</v>
      </c>
      <c r="T229">
        <v>0.85</v>
      </c>
      <c r="U229">
        <v>0.74670000000000003</v>
      </c>
      <c r="V229">
        <v>2.29E-2</v>
      </c>
      <c r="W229">
        <v>2.6100000000000002E-2</v>
      </c>
      <c r="X229">
        <v>8.0000000000000002E-3</v>
      </c>
      <c r="Y229">
        <v>0.08</v>
      </c>
      <c r="Z229">
        <v>6.3E-2</v>
      </c>
    </row>
    <row r="230" spans="1:29" x14ac:dyDescent="0.25">
      <c r="A230" s="1" t="s">
        <v>1017</v>
      </c>
      <c r="J230" t="str">
        <f t="shared" si="22"/>
        <v xml:space="preserve">        35.2        0.88      0.6946      0.0153      0.0195       0.006       0.060       0.042              </v>
      </c>
      <c r="S230">
        <v>35.200000000000003</v>
      </c>
      <c r="T230">
        <v>0.88</v>
      </c>
      <c r="U230">
        <v>0.6946</v>
      </c>
      <c r="V230">
        <v>1.5299999999999999E-2</v>
      </c>
      <c r="W230">
        <v>1.95E-2</v>
      </c>
      <c r="X230">
        <v>6.0000000000000001E-3</v>
      </c>
      <c r="Y230">
        <v>0.06</v>
      </c>
      <c r="Z230">
        <v>4.2000000000000003E-2</v>
      </c>
    </row>
    <row r="231" spans="1:29" x14ac:dyDescent="0.25">
      <c r="A231" s="1" t="s">
        <v>1018</v>
      </c>
      <c r="J231" t="str">
        <f t="shared" si="22"/>
        <v xml:space="preserve">        36.5        0.92      0.5602      0.0077      0.0126       0.004       0.039       0.021              </v>
      </c>
      <c r="S231">
        <v>36.5</v>
      </c>
      <c r="T231">
        <v>0.92</v>
      </c>
      <c r="U231">
        <v>0.56020000000000003</v>
      </c>
      <c r="V231">
        <v>7.7000000000000002E-3</v>
      </c>
      <c r="W231">
        <v>1.26E-2</v>
      </c>
      <c r="X231">
        <v>4.0000000000000001E-3</v>
      </c>
      <c r="Y231">
        <v>3.9E-2</v>
      </c>
      <c r="Z231">
        <v>2.1000000000000001E-2</v>
      </c>
    </row>
    <row r="232" spans="1:29" x14ac:dyDescent="0.25">
      <c r="A232" s="1" t="s">
        <v>1019</v>
      </c>
      <c r="J232" t="str">
        <f t="shared" si="22"/>
        <v xml:space="preserve">        37.8        0.95     -0.0016      0.0000      0.0060       0.002       0.018       0.000              </v>
      </c>
      <c r="S232">
        <v>37.799999999999997</v>
      </c>
      <c r="T232">
        <v>0.95</v>
      </c>
      <c r="U232">
        <v>-1.6000000000000001E-3</v>
      </c>
      <c r="V232">
        <v>0</v>
      </c>
      <c r="W232">
        <v>6.0000000000000001E-3</v>
      </c>
      <c r="X232">
        <v>2E-3</v>
      </c>
      <c r="Y232">
        <v>1.7999999999999999E-2</v>
      </c>
      <c r="Z232">
        <v>0</v>
      </c>
    </row>
    <row r="233" spans="1:29" x14ac:dyDescent="0.25">
      <c r="A233" s="1" t="s">
        <v>1</v>
      </c>
    </row>
    <row r="234" spans="1:29" x14ac:dyDescent="0.25">
      <c r="A234" s="1" t="s">
        <v>1</v>
      </c>
    </row>
    <row r="235" spans="1:29" x14ac:dyDescent="0.25">
      <c r="A235" s="1" t="s">
        <v>1</v>
      </c>
    </row>
    <row r="236" spans="1:29" x14ac:dyDescent="0.25">
      <c r="A236" s="1" t="s">
        <v>196</v>
      </c>
      <c r="J236" s="43" t="s">
        <v>1788</v>
      </c>
      <c r="S236">
        <v>7000</v>
      </c>
      <c r="AC236" t="str">
        <f>CONCATENATE($V$16,$AC$13,S236)</f>
        <v>Ct@7000</v>
      </c>
    </row>
    <row r="237" spans="1:29" x14ac:dyDescent="0.25">
      <c r="A237" s="1" t="s">
        <v>1</v>
      </c>
    </row>
    <row r="238" spans="1:29" x14ac:dyDescent="0.25">
      <c r="A238" s="1" t="s">
        <v>9</v>
      </c>
      <c r="J238" t="str">
        <f>A238</f>
        <v xml:space="preserve">         V          J           Pe         Ct          Cp          PWR         Torque      Thrust             </v>
      </c>
      <c r="S238" t="s">
        <v>662</v>
      </c>
      <c r="T238" t="s">
        <v>663</v>
      </c>
      <c r="U238" t="s">
        <v>664</v>
      </c>
      <c r="V238" t="s">
        <v>665</v>
      </c>
      <c r="W238" t="s">
        <v>666</v>
      </c>
      <c r="X238" t="s">
        <v>667</v>
      </c>
      <c r="Y238" t="s">
        <v>668</v>
      </c>
      <c r="Z238" t="s">
        <v>669</v>
      </c>
    </row>
    <row r="239" spans="1:29" x14ac:dyDescent="0.25">
      <c r="A239" s="1" t="s">
        <v>10</v>
      </c>
      <c r="J239" t="str">
        <f t="shared" ref="J239:J269" si="23">A239</f>
        <v xml:space="preserve">       (mph)     (Adv Ratio)                                       (Hp)        (In-Lbf)     (Lbf)             </v>
      </c>
      <c r="S239" t="s">
        <v>670</v>
      </c>
      <c r="T239" t="s">
        <v>1780</v>
      </c>
      <c r="U239" t="s">
        <v>1781</v>
      </c>
      <c r="V239" t="s">
        <v>672</v>
      </c>
      <c r="W239" t="s">
        <v>673</v>
      </c>
      <c r="X239" t="s">
        <v>674</v>
      </c>
    </row>
    <row r="240" spans="1:29" x14ac:dyDescent="0.25">
      <c r="A240" s="1" t="s">
        <v>1020</v>
      </c>
      <c r="J240" t="str">
        <f t="shared" si="23"/>
        <v xml:space="preserve">         0.0        0.00      0.0000      0.1322      0.0662       0.031       0.276       0.496              </v>
      </c>
      <c r="S240">
        <v>0</v>
      </c>
      <c r="T240">
        <v>0</v>
      </c>
      <c r="U240">
        <v>0</v>
      </c>
      <c r="V240">
        <v>0.13220000000000001</v>
      </c>
      <c r="W240">
        <v>6.6199999999999995E-2</v>
      </c>
      <c r="X240">
        <v>3.1E-2</v>
      </c>
      <c r="Y240">
        <v>0.27600000000000002</v>
      </c>
      <c r="Z240">
        <v>0.496</v>
      </c>
    </row>
    <row r="241" spans="1:26" x14ac:dyDescent="0.25">
      <c r="A241" s="1" t="s">
        <v>1021</v>
      </c>
      <c r="J241" t="str">
        <f t="shared" si="23"/>
        <v xml:space="preserve">         1.5        0.03      0.0642      0.1318      0.0673       0.031       0.281       0.494              </v>
      </c>
      <c r="S241">
        <v>1.5</v>
      </c>
      <c r="T241">
        <v>0.03</v>
      </c>
      <c r="U241">
        <v>6.4199999999999993E-2</v>
      </c>
      <c r="V241">
        <v>0.1318</v>
      </c>
      <c r="W241">
        <v>6.7299999999999999E-2</v>
      </c>
      <c r="X241">
        <v>3.1E-2</v>
      </c>
      <c r="Y241">
        <v>0.28100000000000003</v>
      </c>
      <c r="Z241">
        <v>0.49399999999999999</v>
      </c>
    </row>
    <row r="242" spans="1:26" x14ac:dyDescent="0.25">
      <c r="A242" s="1" t="s">
        <v>1022</v>
      </c>
      <c r="J242" t="str">
        <f t="shared" si="23"/>
        <v xml:space="preserve">         3.0        0.07      0.1257      0.1313      0.0685       0.032       0.286       0.492              </v>
      </c>
      <c r="S242">
        <v>3</v>
      </c>
      <c r="T242">
        <v>7.0000000000000007E-2</v>
      </c>
      <c r="U242">
        <v>0.12570000000000001</v>
      </c>
      <c r="V242">
        <v>0.1313</v>
      </c>
      <c r="W242">
        <v>6.8500000000000005E-2</v>
      </c>
      <c r="X242">
        <v>3.2000000000000001E-2</v>
      </c>
      <c r="Y242">
        <v>0.28599999999999998</v>
      </c>
      <c r="Z242">
        <v>0.49199999999999999</v>
      </c>
    </row>
    <row r="243" spans="1:26" x14ac:dyDescent="0.25">
      <c r="A243" s="1" t="s">
        <v>1023</v>
      </c>
      <c r="J243" t="str">
        <f t="shared" si="23"/>
        <v xml:space="preserve">         4.6        0.10      0.1846      0.1307      0.0696       0.032       0.291       0.490              </v>
      </c>
      <c r="S243">
        <v>4.5999999999999996</v>
      </c>
      <c r="T243">
        <v>0.1</v>
      </c>
      <c r="U243">
        <v>0.18459999999999999</v>
      </c>
      <c r="V243">
        <v>0.13070000000000001</v>
      </c>
      <c r="W243">
        <v>6.9599999999999995E-2</v>
      </c>
      <c r="X243">
        <v>3.2000000000000001E-2</v>
      </c>
      <c r="Y243">
        <v>0.29099999999999998</v>
      </c>
      <c r="Z243">
        <v>0.49</v>
      </c>
    </row>
    <row r="244" spans="1:26" x14ac:dyDescent="0.25">
      <c r="A244" s="1" t="s">
        <v>1024</v>
      </c>
      <c r="J244" t="str">
        <f t="shared" si="23"/>
        <v xml:space="preserve">         6.1        0.13      0.2408      0.1300      0.0708       0.033       0.295       0.487              </v>
      </c>
      <c r="S244">
        <v>6.1</v>
      </c>
      <c r="T244">
        <v>0.13</v>
      </c>
      <c r="U244">
        <v>0.24079999999999999</v>
      </c>
      <c r="V244">
        <v>0.13</v>
      </c>
      <c r="W244">
        <v>7.0800000000000002E-2</v>
      </c>
      <c r="X244">
        <v>3.3000000000000002E-2</v>
      </c>
      <c r="Y244">
        <v>0.29499999999999998</v>
      </c>
      <c r="Z244">
        <v>0.48699999999999999</v>
      </c>
    </row>
    <row r="245" spans="1:26" x14ac:dyDescent="0.25">
      <c r="A245" s="1" t="s">
        <v>1025</v>
      </c>
      <c r="J245" t="str">
        <f t="shared" si="23"/>
        <v xml:space="preserve">         7.6        0.16      0.2942      0.1290      0.0719       0.033       0.300       0.483              </v>
      </c>
      <c r="S245">
        <v>7.6</v>
      </c>
      <c r="T245">
        <v>0.16</v>
      </c>
      <c r="U245">
        <v>0.29420000000000002</v>
      </c>
      <c r="V245">
        <v>0.129</v>
      </c>
      <c r="W245">
        <v>7.1900000000000006E-2</v>
      </c>
      <c r="X245">
        <v>3.3000000000000002E-2</v>
      </c>
      <c r="Y245">
        <v>0.3</v>
      </c>
      <c r="Z245">
        <v>0.48299999999999998</v>
      </c>
    </row>
    <row r="246" spans="1:26" x14ac:dyDescent="0.25">
      <c r="A246" s="1" t="s">
        <v>1026</v>
      </c>
      <c r="J246" t="str">
        <f t="shared" si="23"/>
        <v xml:space="preserve">         9.1        0.20      0.3449      0.1278      0.0728       0.034       0.304       0.479              </v>
      </c>
      <c r="S246">
        <v>9.1</v>
      </c>
      <c r="T246">
        <v>0.2</v>
      </c>
      <c r="U246">
        <v>0.34489999999999998</v>
      </c>
      <c r="V246">
        <v>0.1278</v>
      </c>
      <c r="W246">
        <v>7.2800000000000004E-2</v>
      </c>
      <c r="X246">
        <v>3.4000000000000002E-2</v>
      </c>
      <c r="Y246">
        <v>0.30399999999999999</v>
      </c>
      <c r="Z246">
        <v>0.47899999999999998</v>
      </c>
    </row>
    <row r="247" spans="1:26" x14ac:dyDescent="0.25">
      <c r="A247" s="1" t="s">
        <v>1027</v>
      </c>
      <c r="J247" t="str">
        <f t="shared" si="23"/>
        <v xml:space="preserve">        10.6        0.23      0.3930      0.1262      0.0737       0.034       0.308       0.473              </v>
      </c>
      <c r="S247">
        <v>10.6</v>
      </c>
      <c r="T247">
        <v>0.23</v>
      </c>
      <c r="U247">
        <v>0.39300000000000002</v>
      </c>
      <c r="V247">
        <v>0.12620000000000001</v>
      </c>
      <c r="W247">
        <v>7.3700000000000002E-2</v>
      </c>
      <c r="X247">
        <v>3.4000000000000002E-2</v>
      </c>
      <c r="Y247">
        <v>0.308</v>
      </c>
      <c r="Z247">
        <v>0.47299999999999998</v>
      </c>
    </row>
    <row r="248" spans="1:26" x14ac:dyDescent="0.25">
      <c r="A248" s="1" t="s">
        <v>1028</v>
      </c>
      <c r="J248" t="str">
        <f t="shared" si="23"/>
        <v xml:space="preserve">        12.2        0.26      0.4383      0.1242      0.0743       0.034       0.310       0.465              </v>
      </c>
      <c r="S248">
        <v>12.2</v>
      </c>
      <c r="T248">
        <v>0.26</v>
      </c>
      <c r="U248">
        <v>0.43830000000000002</v>
      </c>
      <c r="V248">
        <v>0.1242</v>
      </c>
      <c r="W248">
        <v>7.4300000000000005E-2</v>
      </c>
      <c r="X248">
        <v>3.4000000000000002E-2</v>
      </c>
      <c r="Y248">
        <v>0.31</v>
      </c>
      <c r="Z248">
        <v>0.46500000000000002</v>
      </c>
    </row>
    <row r="249" spans="1:26" x14ac:dyDescent="0.25">
      <c r="A249" s="1" t="s">
        <v>1029</v>
      </c>
      <c r="J249" t="str">
        <f t="shared" si="23"/>
        <v xml:space="preserve">        13.7        0.29      0.4808      0.1217      0.0747       0.035       0.312       0.456              </v>
      </c>
      <c r="S249">
        <v>13.7</v>
      </c>
      <c r="T249">
        <v>0.28999999999999998</v>
      </c>
      <c r="U249">
        <v>0.48080000000000001</v>
      </c>
      <c r="V249">
        <v>0.1217</v>
      </c>
      <c r="W249">
        <v>7.4700000000000003E-2</v>
      </c>
      <c r="X249">
        <v>3.5000000000000003E-2</v>
      </c>
      <c r="Y249">
        <v>0.312</v>
      </c>
      <c r="Z249">
        <v>0.45600000000000002</v>
      </c>
    </row>
    <row r="250" spans="1:26" x14ac:dyDescent="0.25">
      <c r="A250" s="1" t="s">
        <v>1030</v>
      </c>
      <c r="J250" t="str">
        <f t="shared" si="23"/>
        <v xml:space="preserve">        15.2        0.33      0.5206      0.1188      0.0748       0.035       0.312       0.445              </v>
      </c>
      <c r="S250">
        <v>15.2</v>
      </c>
      <c r="T250">
        <v>0.33</v>
      </c>
      <c r="U250">
        <v>0.52059999999999995</v>
      </c>
      <c r="V250">
        <v>0.1188</v>
      </c>
      <c r="W250">
        <v>7.4800000000000005E-2</v>
      </c>
      <c r="X250">
        <v>3.5000000000000003E-2</v>
      </c>
      <c r="Y250">
        <v>0.312</v>
      </c>
      <c r="Z250">
        <v>0.44500000000000001</v>
      </c>
    </row>
    <row r="251" spans="1:26" x14ac:dyDescent="0.25">
      <c r="A251" s="1" t="s">
        <v>1031</v>
      </c>
      <c r="J251" t="str">
        <f t="shared" si="23"/>
        <v xml:space="preserve">        16.7        0.36      0.5576      0.1153      0.0746       0.035       0.311       0.432              </v>
      </c>
      <c r="S251">
        <v>16.7</v>
      </c>
      <c r="T251">
        <v>0.36</v>
      </c>
      <c r="U251">
        <v>0.55759999999999998</v>
      </c>
      <c r="V251">
        <v>0.1153</v>
      </c>
      <c r="W251">
        <v>7.46E-2</v>
      </c>
      <c r="X251">
        <v>3.5000000000000003E-2</v>
      </c>
      <c r="Y251">
        <v>0.311</v>
      </c>
      <c r="Z251">
        <v>0.432</v>
      </c>
    </row>
    <row r="252" spans="1:26" x14ac:dyDescent="0.25">
      <c r="A252" s="1" t="s">
        <v>1032</v>
      </c>
      <c r="J252" t="str">
        <f t="shared" si="23"/>
        <v xml:space="preserve">        18.3        0.39      0.5917      0.1114      0.0740       0.034       0.309       0.417              </v>
      </c>
      <c r="S252">
        <v>18.3</v>
      </c>
      <c r="T252">
        <v>0.39</v>
      </c>
      <c r="U252">
        <v>0.5917</v>
      </c>
      <c r="V252">
        <v>0.1114</v>
      </c>
      <c r="W252">
        <v>7.3999999999999996E-2</v>
      </c>
      <c r="X252">
        <v>3.4000000000000002E-2</v>
      </c>
      <c r="Y252">
        <v>0.309</v>
      </c>
      <c r="Z252">
        <v>0.41699999999999998</v>
      </c>
    </row>
    <row r="253" spans="1:26" x14ac:dyDescent="0.25">
      <c r="A253" s="1" t="s">
        <v>1033</v>
      </c>
      <c r="J253" t="str">
        <f t="shared" si="23"/>
        <v xml:space="preserve">        19.8        0.43      0.6229      0.1069      0.0731       0.034       0.305       0.401              </v>
      </c>
      <c r="S253">
        <v>19.8</v>
      </c>
      <c r="T253">
        <v>0.43</v>
      </c>
      <c r="U253">
        <v>0.62290000000000001</v>
      </c>
      <c r="V253">
        <v>0.1069</v>
      </c>
      <c r="W253">
        <v>7.3099999999999998E-2</v>
      </c>
      <c r="X253">
        <v>3.4000000000000002E-2</v>
      </c>
      <c r="Y253">
        <v>0.30499999999999999</v>
      </c>
      <c r="Z253">
        <v>0.40100000000000002</v>
      </c>
    </row>
    <row r="254" spans="1:26" x14ac:dyDescent="0.25">
      <c r="A254" s="1" t="s">
        <v>1034</v>
      </c>
      <c r="J254" t="str">
        <f t="shared" si="23"/>
        <v xml:space="preserve">        21.3        0.46      0.6512      0.1019      0.0718       0.033       0.300       0.382              </v>
      </c>
      <c r="S254">
        <v>21.3</v>
      </c>
      <c r="T254">
        <v>0.46</v>
      </c>
      <c r="U254">
        <v>0.6512</v>
      </c>
      <c r="V254">
        <v>0.1019</v>
      </c>
      <c r="W254">
        <v>7.1800000000000003E-2</v>
      </c>
      <c r="X254">
        <v>3.3000000000000002E-2</v>
      </c>
      <c r="Y254">
        <v>0.3</v>
      </c>
      <c r="Z254">
        <v>0.38200000000000001</v>
      </c>
    </row>
    <row r="255" spans="1:26" x14ac:dyDescent="0.25">
      <c r="A255" s="1" t="s">
        <v>1035</v>
      </c>
      <c r="J255" t="str">
        <f t="shared" si="23"/>
        <v xml:space="preserve">        22.8        0.49      0.6763      0.0964      0.0701       0.033       0.293       0.361              </v>
      </c>
      <c r="S255">
        <v>22.8</v>
      </c>
      <c r="T255">
        <v>0.49</v>
      </c>
      <c r="U255">
        <v>0.67630000000000001</v>
      </c>
      <c r="V255">
        <v>9.64E-2</v>
      </c>
      <c r="W255">
        <v>7.0099999999999996E-2</v>
      </c>
      <c r="X255">
        <v>3.3000000000000002E-2</v>
      </c>
      <c r="Y255">
        <v>0.29299999999999998</v>
      </c>
      <c r="Z255">
        <v>0.36099999999999999</v>
      </c>
    </row>
    <row r="256" spans="1:26" x14ac:dyDescent="0.25">
      <c r="A256" s="1" t="s">
        <v>1036</v>
      </c>
      <c r="J256" t="str">
        <f t="shared" si="23"/>
        <v xml:space="preserve">        24.3        0.52      0.6984      0.0906      0.0680       0.032       0.284       0.339              </v>
      </c>
      <c r="S256">
        <v>24.3</v>
      </c>
      <c r="T256">
        <v>0.52</v>
      </c>
      <c r="U256">
        <v>0.69840000000000002</v>
      </c>
      <c r="V256">
        <v>9.06E-2</v>
      </c>
      <c r="W256">
        <v>6.8000000000000005E-2</v>
      </c>
      <c r="X256">
        <v>3.2000000000000001E-2</v>
      </c>
      <c r="Y256">
        <v>0.28399999999999997</v>
      </c>
      <c r="Z256">
        <v>0.33900000000000002</v>
      </c>
    </row>
    <row r="257" spans="1:26" x14ac:dyDescent="0.25">
      <c r="A257" s="1" t="s">
        <v>1037</v>
      </c>
      <c r="J257" t="str">
        <f t="shared" si="23"/>
        <v xml:space="preserve">        25.9        0.56      0.7173      0.0845      0.0656       0.030       0.274       0.317              </v>
      </c>
      <c r="S257">
        <v>25.9</v>
      </c>
      <c r="T257">
        <v>0.56000000000000005</v>
      </c>
      <c r="U257">
        <v>0.71730000000000005</v>
      </c>
      <c r="V257">
        <v>8.4500000000000006E-2</v>
      </c>
      <c r="W257">
        <v>6.5600000000000006E-2</v>
      </c>
      <c r="X257">
        <v>0.03</v>
      </c>
      <c r="Y257">
        <v>0.27400000000000002</v>
      </c>
      <c r="Z257">
        <v>0.317</v>
      </c>
    </row>
    <row r="258" spans="1:26" x14ac:dyDescent="0.25">
      <c r="A258" s="1" t="s">
        <v>1038</v>
      </c>
      <c r="J258" t="str">
        <f t="shared" si="23"/>
        <v xml:space="preserve">        27.4        0.59      0.7334      0.0783      0.0630       0.029       0.263       0.293              </v>
      </c>
      <c r="S258">
        <v>27.4</v>
      </c>
      <c r="T258">
        <v>0.59</v>
      </c>
      <c r="U258">
        <v>0.73340000000000005</v>
      </c>
      <c r="V258">
        <v>7.8299999999999995E-2</v>
      </c>
      <c r="W258">
        <v>6.3E-2</v>
      </c>
      <c r="X258">
        <v>2.9000000000000001E-2</v>
      </c>
      <c r="Y258">
        <v>0.26300000000000001</v>
      </c>
      <c r="Z258">
        <v>0.29299999999999998</v>
      </c>
    </row>
    <row r="259" spans="1:26" x14ac:dyDescent="0.25">
      <c r="A259" s="1" t="s">
        <v>1039</v>
      </c>
      <c r="J259" t="str">
        <f t="shared" si="23"/>
        <v xml:space="preserve">        28.9        0.62      0.7467      0.0720      0.0600       0.028       0.251       0.270              </v>
      </c>
      <c r="S259">
        <v>28.9</v>
      </c>
      <c r="T259">
        <v>0.62</v>
      </c>
      <c r="U259">
        <v>0.74670000000000003</v>
      </c>
      <c r="V259">
        <v>7.1999999999999995E-2</v>
      </c>
      <c r="W259">
        <v>0.06</v>
      </c>
      <c r="X259">
        <v>2.8000000000000001E-2</v>
      </c>
      <c r="Y259">
        <v>0.251</v>
      </c>
      <c r="Z259">
        <v>0.27</v>
      </c>
    </row>
    <row r="260" spans="1:26" x14ac:dyDescent="0.25">
      <c r="A260" s="1" t="s">
        <v>1040</v>
      </c>
      <c r="J260" t="str">
        <f t="shared" si="23"/>
        <v xml:space="preserve">        30.4        0.66      0.7577      0.0655      0.0567       0.026       0.237       0.245              </v>
      </c>
      <c r="S260">
        <v>30.4</v>
      </c>
      <c r="T260">
        <v>0.66</v>
      </c>
      <c r="U260">
        <v>0.75770000000000004</v>
      </c>
      <c r="V260">
        <v>6.5500000000000003E-2</v>
      </c>
      <c r="W260">
        <v>5.67E-2</v>
      </c>
      <c r="X260">
        <v>2.5999999999999999E-2</v>
      </c>
      <c r="Y260">
        <v>0.23699999999999999</v>
      </c>
      <c r="Z260">
        <v>0.245</v>
      </c>
    </row>
    <row r="261" spans="1:26" x14ac:dyDescent="0.25">
      <c r="A261" s="1" t="s">
        <v>1041</v>
      </c>
      <c r="J261" t="str">
        <f t="shared" si="23"/>
        <v xml:space="preserve">        31.9        0.69      0.7664      0.0588      0.0528       0.025       0.221       0.221              </v>
      </c>
      <c r="S261">
        <v>31.9</v>
      </c>
      <c r="T261">
        <v>0.69</v>
      </c>
      <c r="U261">
        <v>0.76639999999999997</v>
      </c>
      <c r="V261">
        <v>5.8799999999999998E-2</v>
      </c>
      <c r="W261">
        <v>5.28E-2</v>
      </c>
      <c r="X261">
        <v>2.5000000000000001E-2</v>
      </c>
      <c r="Y261">
        <v>0.221</v>
      </c>
      <c r="Z261">
        <v>0.221</v>
      </c>
    </row>
    <row r="262" spans="1:26" x14ac:dyDescent="0.25">
      <c r="A262" s="1" t="s">
        <v>1042</v>
      </c>
      <c r="J262" t="str">
        <f t="shared" si="23"/>
        <v xml:space="preserve">        33.5        0.72      0.7729      0.0520      0.0485       0.023       0.203       0.195              </v>
      </c>
      <c r="S262">
        <v>33.5</v>
      </c>
      <c r="T262">
        <v>0.72</v>
      </c>
      <c r="U262">
        <v>0.77290000000000003</v>
      </c>
      <c r="V262">
        <v>5.1999999999999998E-2</v>
      </c>
      <c r="W262">
        <v>4.8500000000000001E-2</v>
      </c>
      <c r="X262">
        <v>2.3E-2</v>
      </c>
      <c r="Y262">
        <v>0.20300000000000001</v>
      </c>
      <c r="Z262">
        <v>0.19500000000000001</v>
      </c>
    </row>
    <row r="263" spans="1:26" x14ac:dyDescent="0.25">
      <c r="A263" s="1" t="s">
        <v>1043</v>
      </c>
      <c r="J263" t="str">
        <f t="shared" si="23"/>
        <v xml:space="preserve">        35.0        0.75      0.7764      0.0450      0.0437       0.020       0.182       0.169              </v>
      </c>
      <c r="S263">
        <v>35</v>
      </c>
      <c r="T263">
        <v>0.75</v>
      </c>
      <c r="U263">
        <v>0.77639999999999998</v>
      </c>
      <c r="V263">
        <v>4.4999999999999998E-2</v>
      </c>
      <c r="W263">
        <v>4.3700000000000003E-2</v>
      </c>
      <c r="X263">
        <v>0.02</v>
      </c>
      <c r="Y263">
        <v>0.182</v>
      </c>
      <c r="Z263">
        <v>0.16900000000000001</v>
      </c>
    </row>
    <row r="264" spans="1:26" x14ac:dyDescent="0.25">
      <c r="A264" s="1" t="s">
        <v>1044</v>
      </c>
      <c r="J264" t="str">
        <f t="shared" si="23"/>
        <v xml:space="preserve">        36.5        0.79      0.7759      0.0378      0.0384       0.018       0.160       0.142              </v>
      </c>
      <c r="S264">
        <v>36.5</v>
      </c>
      <c r="T264">
        <v>0.79</v>
      </c>
      <c r="U264">
        <v>0.77590000000000003</v>
      </c>
      <c r="V264">
        <v>3.78E-2</v>
      </c>
      <c r="W264">
        <v>3.8399999999999997E-2</v>
      </c>
      <c r="X264">
        <v>1.7999999999999999E-2</v>
      </c>
      <c r="Y264">
        <v>0.16</v>
      </c>
      <c r="Z264">
        <v>0.14199999999999999</v>
      </c>
    </row>
    <row r="265" spans="1:26" x14ac:dyDescent="0.25">
      <c r="A265" s="1" t="s">
        <v>1045</v>
      </c>
      <c r="J265" t="str">
        <f t="shared" si="23"/>
        <v xml:space="preserve">        38.0        0.82      0.7687      0.0305      0.0325       0.015       0.136       0.114              </v>
      </c>
      <c r="S265">
        <v>38</v>
      </c>
      <c r="T265">
        <v>0.82</v>
      </c>
      <c r="U265">
        <v>0.76870000000000005</v>
      </c>
      <c r="V265">
        <v>3.0499999999999999E-2</v>
      </c>
      <c r="W265">
        <v>3.2500000000000001E-2</v>
      </c>
      <c r="X265">
        <v>1.4999999999999999E-2</v>
      </c>
      <c r="Y265">
        <v>0.13600000000000001</v>
      </c>
      <c r="Z265">
        <v>0.114</v>
      </c>
    </row>
    <row r="266" spans="1:26" x14ac:dyDescent="0.25">
      <c r="A266" s="1" t="s">
        <v>1046</v>
      </c>
      <c r="J266" t="str">
        <f t="shared" si="23"/>
        <v xml:space="preserve">        39.5        0.85      0.7469      0.0230      0.0262       0.012       0.109       0.086              </v>
      </c>
      <c r="S266">
        <v>39.5</v>
      </c>
      <c r="T266">
        <v>0.85</v>
      </c>
      <c r="U266">
        <v>0.74690000000000001</v>
      </c>
      <c r="V266">
        <v>2.3E-2</v>
      </c>
      <c r="W266">
        <v>2.6200000000000001E-2</v>
      </c>
      <c r="X266">
        <v>1.2E-2</v>
      </c>
      <c r="Y266">
        <v>0.109</v>
      </c>
      <c r="Z266">
        <v>8.5999999999999993E-2</v>
      </c>
    </row>
    <row r="267" spans="1:26" x14ac:dyDescent="0.25">
      <c r="A267" s="1" t="s">
        <v>1047</v>
      </c>
      <c r="J267" t="str">
        <f t="shared" si="23"/>
        <v xml:space="preserve">        41.1        0.88      0.6949      0.0154      0.0196       0.009       0.082       0.058              </v>
      </c>
      <c r="S267">
        <v>41.1</v>
      </c>
      <c r="T267">
        <v>0.88</v>
      </c>
      <c r="U267">
        <v>0.69489999999999996</v>
      </c>
      <c r="V267">
        <v>1.54E-2</v>
      </c>
      <c r="W267">
        <v>1.9599999999999999E-2</v>
      </c>
      <c r="X267">
        <v>8.9999999999999993E-3</v>
      </c>
      <c r="Y267">
        <v>8.2000000000000003E-2</v>
      </c>
      <c r="Z267">
        <v>5.8000000000000003E-2</v>
      </c>
    </row>
    <row r="268" spans="1:26" x14ac:dyDescent="0.25">
      <c r="A268" s="1" t="s">
        <v>1048</v>
      </c>
      <c r="J268" t="str">
        <f t="shared" si="23"/>
        <v xml:space="preserve">        42.6        0.92      0.5605      0.0077      0.0126       0.006       0.053       0.029              </v>
      </c>
      <c r="S268">
        <v>42.6</v>
      </c>
      <c r="T268">
        <v>0.92</v>
      </c>
      <c r="U268">
        <v>0.5605</v>
      </c>
      <c r="V268">
        <v>7.7000000000000002E-3</v>
      </c>
      <c r="W268">
        <v>1.26E-2</v>
      </c>
      <c r="X268">
        <v>6.0000000000000001E-3</v>
      </c>
      <c r="Y268">
        <v>5.2999999999999999E-2</v>
      </c>
      <c r="Z268">
        <v>2.9000000000000001E-2</v>
      </c>
    </row>
    <row r="269" spans="1:26" x14ac:dyDescent="0.25">
      <c r="A269" s="1" t="s">
        <v>1049</v>
      </c>
      <c r="J269" t="str">
        <f t="shared" si="23"/>
        <v xml:space="preserve">        44.1        0.95     -0.0019      0.0000      0.0060       0.003       0.025       0.000              </v>
      </c>
      <c r="S269">
        <v>44.1</v>
      </c>
      <c r="T269">
        <v>0.95</v>
      </c>
      <c r="U269">
        <v>-1.9E-3</v>
      </c>
      <c r="V269">
        <v>0</v>
      </c>
      <c r="W269">
        <v>6.0000000000000001E-3</v>
      </c>
      <c r="X269">
        <v>3.0000000000000001E-3</v>
      </c>
      <c r="Y269">
        <v>2.5000000000000001E-2</v>
      </c>
      <c r="Z269">
        <v>0</v>
      </c>
    </row>
    <row r="270" spans="1:26" x14ac:dyDescent="0.25">
      <c r="A270" s="1" t="s">
        <v>1</v>
      </c>
    </row>
    <row r="271" spans="1:26" x14ac:dyDescent="0.25">
      <c r="A271" s="1" t="s">
        <v>1</v>
      </c>
    </row>
    <row r="272" spans="1:26" x14ac:dyDescent="0.25">
      <c r="A272" s="1" t="s">
        <v>1</v>
      </c>
    </row>
    <row r="273" spans="1:29" x14ac:dyDescent="0.25">
      <c r="A273" s="1" t="s">
        <v>227</v>
      </c>
      <c r="J273" s="43" t="s">
        <v>1789</v>
      </c>
      <c r="S273">
        <v>8000</v>
      </c>
      <c r="AC273" t="str">
        <f>CONCATENATE($V$16,$AC$13,S273)</f>
        <v>Ct@8000</v>
      </c>
    </row>
    <row r="274" spans="1:29" x14ac:dyDescent="0.25">
      <c r="A274" s="1" t="s">
        <v>1</v>
      </c>
    </row>
    <row r="275" spans="1:29" x14ac:dyDescent="0.25">
      <c r="A275" s="1" t="s">
        <v>9</v>
      </c>
      <c r="J275" t="str">
        <f>A275</f>
        <v xml:space="preserve">         V          J           Pe         Ct          Cp          PWR         Torque      Thrust             </v>
      </c>
      <c r="S275" t="s">
        <v>662</v>
      </c>
      <c r="T275" t="s">
        <v>663</v>
      </c>
      <c r="U275" t="s">
        <v>664</v>
      </c>
      <c r="V275" t="s">
        <v>665</v>
      </c>
      <c r="W275" t="s">
        <v>666</v>
      </c>
      <c r="X275" t="s">
        <v>667</v>
      </c>
      <c r="Y275" t="s">
        <v>668</v>
      </c>
      <c r="Z275" t="s">
        <v>669</v>
      </c>
    </row>
    <row r="276" spans="1:29" x14ac:dyDescent="0.25">
      <c r="A276" s="1" t="s">
        <v>10</v>
      </c>
      <c r="J276" t="str">
        <f t="shared" ref="J276:J306" si="24">A276</f>
        <v xml:space="preserve">       (mph)     (Adv Ratio)                                       (Hp)        (In-Lbf)     (Lbf)             </v>
      </c>
      <c r="S276" t="s">
        <v>670</v>
      </c>
      <c r="T276" t="s">
        <v>1780</v>
      </c>
      <c r="U276" t="s">
        <v>1781</v>
      </c>
      <c r="V276" t="s">
        <v>672</v>
      </c>
      <c r="W276" t="s">
        <v>673</v>
      </c>
      <c r="X276" t="s">
        <v>674</v>
      </c>
    </row>
    <row r="277" spans="1:29" x14ac:dyDescent="0.25">
      <c r="A277" s="1" t="s">
        <v>1050</v>
      </c>
      <c r="J277" t="str">
        <f t="shared" si="24"/>
        <v xml:space="preserve">         0.0        0.00      0.0000      0.1322      0.0664       0.046       0.362       0.647              </v>
      </c>
      <c r="S277">
        <v>0</v>
      </c>
      <c r="T277">
        <v>0</v>
      </c>
      <c r="U277">
        <v>0</v>
      </c>
      <c r="V277">
        <v>0.13220000000000001</v>
      </c>
      <c r="W277">
        <v>6.6400000000000001E-2</v>
      </c>
      <c r="X277">
        <v>4.5999999999999999E-2</v>
      </c>
      <c r="Y277">
        <v>0.36199999999999999</v>
      </c>
      <c r="Z277">
        <v>0.64700000000000002</v>
      </c>
    </row>
    <row r="278" spans="1:29" x14ac:dyDescent="0.25">
      <c r="A278" s="1" t="s">
        <v>1051</v>
      </c>
      <c r="J278" t="str">
        <f t="shared" si="24"/>
        <v xml:space="preserve">         1.7        0.03      0.0642      0.1318      0.0675       0.047       0.368       0.645              </v>
      </c>
      <c r="S278">
        <v>1.7</v>
      </c>
      <c r="T278">
        <v>0.03</v>
      </c>
      <c r="U278">
        <v>6.4199999999999993E-2</v>
      </c>
      <c r="V278">
        <v>0.1318</v>
      </c>
      <c r="W278">
        <v>6.7500000000000004E-2</v>
      </c>
      <c r="X278">
        <v>4.7E-2</v>
      </c>
      <c r="Y278">
        <v>0.36799999999999999</v>
      </c>
      <c r="Z278">
        <v>0.64500000000000002</v>
      </c>
    </row>
    <row r="279" spans="1:29" x14ac:dyDescent="0.25">
      <c r="A279" s="1" t="s">
        <v>1052</v>
      </c>
      <c r="J279" t="str">
        <f t="shared" si="24"/>
        <v xml:space="preserve">         3.5        0.07      0.1257      0.1313      0.0686       0.048       0.374       0.643              </v>
      </c>
      <c r="S279">
        <v>3.5</v>
      </c>
      <c r="T279">
        <v>7.0000000000000007E-2</v>
      </c>
      <c r="U279">
        <v>0.12570000000000001</v>
      </c>
      <c r="V279">
        <v>0.1313</v>
      </c>
      <c r="W279">
        <v>6.8599999999999994E-2</v>
      </c>
      <c r="X279">
        <v>4.8000000000000001E-2</v>
      </c>
      <c r="Y279">
        <v>0.374</v>
      </c>
      <c r="Z279">
        <v>0.64300000000000002</v>
      </c>
    </row>
    <row r="280" spans="1:29" x14ac:dyDescent="0.25">
      <c r="A280" s="1" t="s">
        <v>1053</v>
      </c>
      <c r="J280" t="str">
        <f t="shared" si="24"/>
        <v xml:space="preserve">         5.2        0.10      0.1845      0.1307      0.0698       0.048       0.381       0.640              </v>
      </c>
      <c r="S280">
        <v>5.2</v>
      </c>
      <c r="T280">
        <v>0.1</v>
      </c>
      <c r="U280">
        <v>0.1845</v>
      </c>
      <c r="V280">
        <v>0.13070000000000001</v>
      </c>
      <c r="W280">
        <v>6.9800000000000001E-2</v>
      </c>
      <c r="X280">
        <v>4.8000000000000001E-2</v>
      </c>
      <c r="Y280">
        <v>0.38100000000000001</v>
      </c>
      <c r="Z280">
        <v>0.64</v>
      </c>
    </row>
    <row r="281" spans="1:29" x14ac:dyDescent="0.25">
      <c r="A281" s="1" t="s">
        <v>1054</v>
      </c>
      <c r="J281" t="str">
        <f t="shared" si="24"/>
        <v xml:space="preserve">         7.0        0.13      0.2407      0.1299      0.0710       0.049       0.387       0.636              </v>
      </c>
      <c r="S281">
        <v>7</v>
      </c>
      <c r="T281">
        <v>0.13</v>
      </c>
      <c r="U281">
        <v>0.2407</v>
      </c>
      <c r="V281">
        <v>0.12989999999999999</v>
      </c>
      <c r="W281">
        <v>7.0999999999999994E-2</v>
      </c>
      <c r="X281">
        <v>4.9000000000000002E-2</v>
      </c>
      <c r="Y281">
        <v>0.38700000000000001</v>
      </c>
      <c r="Z281">
        <v>0.63600000000000001</v>
      </c>
    </row>
    <row r="282" spans="1:29" x14ac:dyDescent="0.25">
      <c r="A282" s="1" t="s">
        <v>1055</v>
      </c>
      <c r="J282" t="str">
        <f t="shared" si="24"/>
        <v xml:space="preserve">         8.7        0.16      0.2941      0.1290      0.0720       0.050       0.393       0.631              </v>
      </c>
      <c r="S282">
        <v>8.6999999999999993</v>
      </c>
      <c r="T282">
        <v>0.16</v>
      </c>
      <c r="U282">
        <v>0.29409999999999997</v>
      </c>
      <c r="V282">
        <v>0.129</v>
      </c>
      <c r="W282">
        <v>7.1999999999999995E-2</v>
      </c>
      <c r="X282">
        <v>0.05</v>
      </c>
      <c r="Y282">
        <v>0.39300000000000002</v>
      </c>
      <c r="Z282">
        <v>0.63100000000000001</v>
      </c>
    </row>
    <row r="283" spans="1:29" x14ac:dyDescent="0.25">
      <c r="A283" s="1" t="s">
        <v>1056</v>
      </c>
      <c r="J283" t="str">
        <f t="shared" si="24"/>
        <v xml:space="preserve">        10.5        0.20      0.3449      0.1277      0.0730       0.051       0.398       0.625              </v>
      </c>
      <c r="S283">
        <v>10.5</v>
      </c>
      <c r="T283">
        <v>0.2</v>
      </c>
      <c r="U283">
        <v>0.34489999999999998</v>
      </c>
      <c r="V283">
        <v>0.12770000000000001</v>
      </c>
      <c r="W283">
        <v>7.2999999999999995E-2</v>
      </c>
      <c r="X283">
        <v>5.0999999999999997E-2</v>
      </c>
      <c r="Y283">
        <v>0.39800000000000002</v>
      </c>
      <c r="Z283">
        <v>0.625</v>
      </c>
    </row>
    <row r="284" spans="1:29" x14ac:dyDescent="0.25">
      <c r="A284" s="1" t="s">
        <v>1057</v>
      </c>
      <c r="J284" t="str">
        <f t="shared" si="24"/>
        <v xml:space="preserve">        12.2        0.23      0.3929      0.1261      0.0738       0.051       0.403       0.617              </v>
      </c>
      <c r="S284">
        <v>12.2</v>
      </c>
      <c r="T284">
        <v>0.23</v>
      </c>
      <c r="U284">
        <v>0.39290000000000003</v>
      </c>
      <c r="V284">
        <v>0.12609999999999999</v>
      </c>
      <c r="W284">
        <v>7.3800000000000004E-2</v>
      </c>
      <c r="X284">
        <v>5.0999999999999997E-2</v>
      </c>
      <c r="Y284">
        <v>0.40300000000000002</v>
      </c>
      <c r="Z284">
        <v>0.61699999999999999</v>
      </c>
    </row>
    <row r="285" spans="1:29" x14ac:dyDescent="0.25">
      <c r="A285" s="1" t="s">
        <v>1058</v>
      </c>
      <c r="J285" t="str">
        <f t="shared" si="24"/>
        <v xml:space="preserve">        13.9        0.26      0.4382      0.1241      0.0744       0.052       0.406       0.608              </v>
      </c>
      <c r="S285">
        <v>13.9</v>
      </c>
      <c r="T285">
        <v>0.26</v>
      </c>
      <c r="U285">
        <v>0.43819999999999998</v>
      </c>
      <c r="V285">
        <v>0.1241</v>
      </c>
      <c r="W285">
        <v>7.4399999999999994E-2</v>
      </c>
      <c r="X285">
        <v>5.1999999999999998E-2</v>
      </c>
      <c r="Y285">
        <v>0.40600000000000003</v>
      </c>
      <c r="Z285">
        <v>0.60799999999999998</v>
      </c>
    </row>
    <row r="286" spans="1:29" x14ac:dyDescent="0.25">
      <c r="A286" s="1" t="s">
        <v>1059</v>
      </c>
      <c r="J286" t="str">
        <f t="shared" si="24"/>
        <v xml:space="preserve">        15.7        0.30      0.4808      0.1216      0.0748       0.052       0.408       0.595              </v>
      </c>
      <c r="S286">
        <v>15.7</v>
      </c>
      <c r="T286">
        <v>0.3</v>
      </c>
      <c r="U286">
        <v>0.48080000000000001</v>
      </c>
      <c r="V286">
        <v>0.1216</v>
      </c>
      <c r="W286">
        <v>7.4800000000000005E-2</v>
      </c>
      <c r="X286">
        <v>5.1999999999999998E-2</v>
      </c>
      <c r="Y286">
        <v>0.40799999999999997</v>
      </c>
      <c r="Z286">
        <v>0.59499999999999997</v>
      </c>
    </row>
    <row r="287" spans="1:29" x14ac:dyDescent="0.25">
      <c r="A287" s="1" t="s">
        <v>1060</v>
      </c>
      <c r="J287" t="str">
        <f t="shared" si="24"/>
        <v xml:space="preserve">        17.4        0.33      0.5206      0.1187      0.0749       0.052       0.408       0.581              </v>
      </c>
      <c r="S287">
        <v>17.399999999999999</v>
      </c>
      <c r="T287">
        <v>0.33</v>
      </c>
      <c r="U287">
        <v>0.52059999999999995</v>
      </c>
      <c r="V287">
        <v>0.1187</v>
      </c>
      <c r="W287">
        <v>7.4899999999999994E-2</v>
      </c>
      <c r="X287">
        <v>5.1999999999999998E-2</v>
      </c>
      <c r="Y287">
        <v>0.40799999999999997</v>
      </c>
      <c r="Z287">
        <v>0.58099999999999996</v>
      </c>
    </row>
    <row r="288" spans="1:29" x14ac:dyDescent="0.25">
      <c r="A288" s="1" t="s">
        <v>1061</v>
      </c>
      <c r="J288" t="str">
        <f t="shared" si="24"/>
        <v xml:space="preserve">        19.2        0.36      0.5576      0.1152      0.0747       0.052       0.407       0.564              </v>
      </c>
      <c r="S288">
        <v>19.2</v>
      </c>
      <c r="T288">
        <v>0.36</v>
      </c>
      <c r="U288">
        <v>0.55759999999999998</v>
      </c>
      <c r="V288">
        <v>0.1152</v>
      </c>
      <c r="W288">
        <v>7.4700000000000003E-2</v>
      </c>
      <c r="X288">
        <v>5.1999999999999998E-2</v>
      </c>
      <c r="Y288">
        <v>0.40699999999999997</v>
      </c>
      <c r="Z288">
        <v>0.56399999999999995</v>
      </c>
    </row>
    <row r="289" spans="1:26" x14ac:dyDescent="0.25">
      <c r="A289" s="1" t="s">
        <v>1062</v>
      </c>
      <c r="J289" t="str">
        <f t="shared" si="24"/>
        <v xml:space="preserve">        20.9        0.39      0.5918      0.1112      0.0741       0.051       0.404       0.545              </v>
      </c>
      <c r="S289">
        <v>20.9</v>
      </c>
      <c r="T289">
        <v>0.39</v>
      </c>
      <c r="U289">
        <v>0.59179999999999999</v>
      </c>
      <c r="V289">
        <v>0.11119999999999999</v>
      </c>
      <c r="W289">
        <v>7.4099999999999999E-2</v>
      </c>
      <c r="X289">
        <v>5.0999999999999997E-2</v>
      </c>
      <c r="Y289">
        <v>0.40400000000000003</v>
      </c>
      <c r="Z289">
        <v>0.54500000000000004</v>
      </c>
    </row>
    <row r="290" spans="1:26" x14ac:dyDescent="0.25">
      <c r="A290" s="1" t="s">
        <v>1063</v>
      </c>
      <c r="J290" t="str">
        <f t="shared" si="24"/>
        <v xml:space="preserve">        22.7        0.43      0.6230      0.1067      0.0732       0.051       0.399       0.523              </v>
      </c>
      <c r="S290">
        <v>22.7</v>
      </c>
      <c r="T290">
        <v>0.43</v>
      </c>
      <c r="U290">
        <v>0.623</v>
      </c>
      <c r="V290">
        <v>0.1067</v>
      </c>
      <c r="W290">
        <v>7.3200000000000001E-2</v>
      </c>
      <c r="X290">
        <v>5.0999999999999997E-2</v>
      </c>
      <c r="Y290">
        <v>0.39900000000000002</v>
      </c>
      <c r="Z290">
        <v>0.52300000000000002</v>
      </c>
    </row>
    <row r="291" spans="1:26" x14ac:dyDescent="0.25">
      <c r="A291" s="1" t="s">
        <v>1064</v>
      </c>
      <c r="J291" t="str">
        <f t="shared" si="24"/>
        <v xml:space="preserve">        24.4        0.46      0.6512      0.1017      0.0719       0.050       0.392       0.498              </v>
      </c>
      <c r="S291">
        <v>24.4</v>
      </c>
      <c r="T291">
        <v>0.46</v>
      </c>
      <c r="U291">
        <v>0.6512</v>
      </c>
      <c r="V291">
        <v>0.1017</v>
      </c>
      <c r="W291">
        <v>7.1900000000000006E-2</v>
      </c>
      <c r="X291">
        <v>0.05</v>
      </c>
      <c r="Y291">
        <v>0.39200000000000002</v>
      </c>
      <c r="Z291">
        <v>0.498</v>
      </c>
    </row>
    <row r="292" spans="1:26" x14ac:dyDescent="0.25">
      <c r="A292" s="1" t="s">
        <v>1065</v>
      </c>
      <c r="J292" t="str">
        <f t="shared" si="24"/>
        <v xml:space="preserve">        26.1        0.49      0.6764      0.0962      0.0701       0.049       0.382       0.471              </v>
      </c>
      <c r="S292">
        <v>26.1</v>
      </c>
      <c r="T292">
        <v>0.49</v>
      </c>
      <c r="U292">
        <v>0.6764</v>
      </c>
      <c r="V292">
        <v>9.6199999999999994E-2</v>
      </c>
      <c r="W292">
        <v>7.0099999999999996E-2</v>
      </c>
      <c r="X292">
        <v>4.9000000000000002E-2</v>
      </c>
      <c r="Y292">
        <v>0.38200000000000001</v>
      </c>
      <c r="Z292">
        <v>0.47099999999999997</v>
      </c>
    </row>
    <row r="293" spans="1:26" x14ac:dyDescent="0.25">
      <c r="A293" s="1" t="s">
        <v>1066</v>
      </c>
      <c r="J293" t="str">
        <f t="shared" si="24"/>
        <v xml:space="preserve">        27.9        0.53      0.6984      0.0903      0.0680       0.047       0.371       0.442              </v>
      </c>
      <c r="S293">
        <v>27.9</v>
      </c>
      <c r="T293">
        <v>0.53</v>
      </c>
      <c r="U293">
        <v>0.69840000000000002</v>
      </c>
      <c r="V293">
        <v>9.0300000000000005E-2</v>
      </c>
      <c r="W293">
        <v>6.8000000000000005E-2</v>
      </c>
      <c r="X293">
        <v>4.7E-2</v>
      </c>
      <c r="Y293">
        <v>0.371</v>
      </c>
      <c r="Z293">
        <v>0.442</v>
      </c>
    </row>
    <row r="294" spans="1:26" x14ac:dyDescent="0.25">
      <c r="A294" s="1" t="s">
        <v>1067</v>
      </c>
      <c r="J294" t="str">
        <f t="shared" si="24"/>
        <v xml:space="preserve">        29.6        0.56      0.7174      0.0842      0.0656       0.045       0.358       0.412              </v>
      </c>
      <c r="S294">
        <v>29.6</v>
      </c>
      <c r="T294">
        <v>0.56000000000000005</v>
      </c>
      <c r="U294">
        <v>0.71740000000000004</v>
      </c>
      <c r="V294">
        <v>8.4199999999999997E-2</v>
      </c>
      <c r="W294">
        <v>6.5600000000000006E-2</v>
      </c>
      <c r="X294">
        <v>4.4999999999999998E-2</v>
      </c>
      <c r="Y294">
        <v>0.35799999999999998</v>
      </c>
      <c r="Z294">
        <v>0.41199999999999998</v>
      </c>
    </row>
    <row r="295" spans="1:26" x14ac:dyDescent="0.25">
      <c r="A295" s="1" t="s">
        <v>1068</v>
      </c>
      <c r="J295" t="str">
        <f t="shared" si="24"/>
        <v xml:space="preserve">        31.4        0.59      0.7334      0.0780      0.0629       0.044       0.343       0.382              </v>
      </c>
      <c r="S295">
        <v>31.4</v>
      </c>
      <c r="T295">
        <v>0.59</v>
      </c>
      <c r="U295">
        <v>0.73340000000000005</v>
      </c>
      <c r="V295">
        <v>7.8E-2</v>
      </c>
      <c r="W295">
        <v>6.2899999999999998E-2</v>
      </c>
      <c r="X295">
        <v>4.3999999999999997E-2</v>
      </c>
      <c r="Y295">
        <v>0.34300000000000003</v>
      </c>
      <c r="Z295">
        <v>0.38200000000000001</v>
      </c>
    </row>
    <row r="296" spans="1:26" x14ac:dyDescent="0.25">
      <c r="A296" s="1" t="s">
        <v>1069</v>
      </c>
      <c r="J296" t="str">
        <f t="shared" si="24"/>
        <v xml:space="preserve">        33.1        0.62      0.7467      0.0717      0.0599       0.041       0.327       0.351              </v>
      </c>
      <c r="S296">
        <v>33.1</v>
      </c>
      <c r="T296">
        <v>0.62</v>
      </c>
      <c r="U296">
        <v>0.74670000000000003</v>
      </c>
      <c r="V296">
        <v>7.17E-2</v>
      </c>
      <c r="W296">
        <v>5.9900000000000002E-2</v>
      </c>
      <c r="X296">
        <v>4.1000000000000002E-2</v>
      </c>
      <c r="Y296">
        <v>0.32700000000000001</v>
      </c>
      <c r="Z296">
        <v>0.35099999999999998</v>
      </c>
    </row>
    <row r="297" spans="1:26" x14ac:dyDescent="0.25">
      <c r="A297" s="1" t="s">
        <v>1070</v>
      </c>
      <c r="J297" t="str">
        <f t="shared" si="24"/>
        <v xml:space="preserve">        34.8        0.66      0.7577      0.0652      0.0565       0.039       0.308       0.319              </v>
      </c>
      <c r="S297">
        <v>34.799999999999997</v>
      </c>
      <c r="T297">
        <v>0.66</v>
      </c>
      <c r="U297">
        <v>0.75770000000000004</v>
      </c>
      <c r="V297">
        <v>6.5199999999999994E-2</v>
      </c>
      <c r="W297">
        <v>5.6500000000000002E-2</v>
      </c>
      <c r="X297">
        <v>3.9E-2</v>
      </c>
      <c r="Y297">
        <v>0.308</v>
      </c>
      <c r="Z297">
        <v>0.31900000000000001</v>
      </c>
    </row>
    <row r="298" spans="1:26" x14ac:dyDescent="0.25">
      <c r="A298" s="1" t="s">
        <v>1071</v>
      </c>
      <c r="J298" t="str">
        <f t="shared" si="24"/>
        <v xml:space="preserve">        36.6        0.69      0.7664      0.0585      0.0527       0.036       0.287       0.286              </v>
      </c>
      <c r="S298">
        <v>36.6</v>
      </c>
      <c r="T298">
        <v>0.69</v>
      </c>
      <c r="U298">
        <v>0.76639999999999997</v>
      </c>
      <c r="V298">
        <v>5.8500000000000003E-2</v>
      </c>
      <c r="W298">
        <v>5.2699999999999997E-2</v>
      </c>
      <c r="X298">
        <v>3.5999999999999997E-2</v>
      </c>
      <c r="Y298">
        <v>0.28699999999999998</v>
      </c>
      <c r="Z298">
        <v>0.28599999999999998</v>
      </c>
    </row>
    <row r="299" spans="1:26" x14ac:dyDescent="0.25">
      <c r="A299" s="1" t="s">
        <v>1072</v>
      </c>
      <c r="J299" t="str">
        <f t="shared" si="24"/>
        <v xml:space="preserve">        38.3        0.72      0.7728      0.0517      0.0483       0.033       0.263       0.253              </v>
      </c>
      <c r="S299">
        <v>38.299999999999997</v>
      </c>
      <c r="T299">
        <v>0.72</v>
      </c>
      <c r="U299">
        <v>0.77280000000000004</v>
      </c>
      <c r="V299">
        <v>5.1700000000000003E-2</v>
      </c>
      <c r="W299">
        <v>4.8300000000000003E-2</v>
      </c>
      <c r="X299">
        <v>3.3000000000000002E-2</v>
      </c>
      <c r="Y299">
        <v>0.26300000000000001</v>
      </c>
      <c r="Z299">
        <v>0.253</v>
      </c>
    </row>
    <row r="300" spans="1:26" x14ac:dyDescent="0.25">
      <c r="A300" s="1" t="s">
        <v>1073</v>
      </c>
      <c r="J300" t="str">
        <f t="shared" si="24"/>
        <v xml:space="preserve">        40.1        0.76      0.7763      0.0446      0.0435       0.030       0.237       0.219              </v>
      </c>
      <c r="S300">
        <v>40.1</v>
      </c>
      <c r="T300">
        <v>0.76</v>
      </c>
      <c r="U300">
        <v>0.77629999999999999</v>
      </c>
      <c r="V300">
        <v>4.4600000000000001E-2</v>
      </c>
      <c r="W300">
        <v>4.3499999999999997E-2</v>
      </c>
      <c r="X300">
        <v>0.03</v>
      </c>
      <c r="Y300">
        <v>0.23699999999999999</v>
      </c>
      <c r="Z300">
        <v>0.219</v>
      </c>
    </row>
    <row r="301" spans="1:26" x14ac:dyDescent="0.25">
      <c r="A301" s="1" t="s">
        <v>1074</v>
      </c>
      <c r="J301" t="str">
        <f t="shared" si="24"/>
        <v xml:space="preserve">        41.8        0.79      0.7756      0.0375      0.0381       0.026       0.208       0.183              </v>
      </c>
      <c r="S301">
        <v>41.8</v>
      </c>
      <c r="T301">
        <v>0.79</v>
      </c>
      <c r="U301">
        <v>0.77559999999999996</v>
      </c>
      <c r="V301">
        <v>3.7499999999999999E-2</v>
      </c>
      <c r="W301">
        <v>3.8100000000000002E-2</v>
      </c>
      <c r="X301">
        <v>2.5999999999999999E-2</v>
      </c>
      <c r="Y301">
        <v>0.20799999999999999</v>
      </c>
      <c r="Z301">
        <v>0.183</v>
      </c>
    </row>
    <row r="302" spans="1:26" x14ac:dyDescent="0.25">
      <c r="A302" s="1" t="s">
        <v>1075</v>
      </c>
      <c r="J302" t="str">
        <f t="shared" si="24"/>
        <v xml:space="preserve">        43.6        0.82      0.7681      0.0301      0.0322       0.022       0.176       0.147              </v>
      </c>
      <c r="S302">
        <v>43.6</v>
      </c>
      <c r="T302">
        <v>0.82</v>
      </c>
      <c r="U302">
        <v>0.7681</v>
      </c>
      <c r="V302">
        <v>3.0099999999999998E-2</v>
      </c>
      <c r="W302">
        <v>3.2199999999999999E-2</v>
      </c>
      <c r="X302">
        <v>2.1999999999999999E-2</v>
      </c>
      <c r="Y302">
        <v>0.17599999999999999</v>
      </c>
      <c r="Z302">
        <v>0.14699999999999999</v>
      </c>
    </row>
    <row r="303" spans="1:26" x14ac:dyDescent="0.25">
      <c r="A303" s="1" t="s">
        <v>1076</v>
      </c>
      <c r="J303" t="str">
        <f t="shared" si="24"/>
        <v xml:space="preserve">        45.3        0.85      0.7461      0.0227      0.0260       0.018       0.142       0.111              </v>
      </c>
      <c r="S303">
        <v>45.3</v>
      </c>
      <c r="T303">
        <v>0.85</v>
      </c>
      <c r="U303">
        <v>0.74609999999999999</v>
      </c>
      <c r="V303">
        <v>2.2700000000000001E-2</v>
      </c>
      <c r="W303">
        <v>2.5999999999999999E-2</v>
      </c>
      <c r="X303">
        <v>1.7999999999999999E-2</v>
      </c>
      <c r="Y303">
        <v>0.14199999999999999</v>
      </c>
      <c r="Z303">
        <v>0.111</v>
      </c>
    </row>
    <row r="304" spans="1:26" x14ac:dyDescent="0.25">
      <c r="A304" s="1" t="s">
        <v>1077</v>
      </c>
      <c r="J304" t="str">
        <f t="shared" si="24"/>
        <v xml:space="preserve">        47.0        0.89      0.6946      0.0152      0.0194       0.013       0.106       0.075              </v>
      </c>
      <c r="S304">
        <v>47</v>
      </c>
      <c r="T304">
        <v>0.89</v>
      </c>
      <c r="U304">
        <v>0.6946</v>
      </c>
      <c r="V304">
        <v>1.52E-2</v>
      </c>
      <c r="W304">
        <v>1.9400000000000001E-2</v>
      </c>
      <c r="X304">
        <v>1.2999999999999999E-2</v>
      </c>
      <c r="Y304">
        <v>0.106</v>
      </c>
      <c r="Z304">
        <v>7.4999999999999997E-2</v>
      </c>
    </row>
    <row r="305" spans="1:30" x14ac:dyDescent="0.25">
      <c r="A305" s="1" t="s">
        <v>1078</v>
      </c>
      <c r="J305" t="str">
        <f t="shared" si="24"/>
        <v xml:space="preserve">        48.8        0.92      0.5607      0.0076      0.0125       0.009       0.068       0.037              </v>
      </c>
      <c r="S305">
        <v>48.8</v>
      </c>
      <c r="T305">
        <v>0.92</v>
      </c>
      <c r="U305">
        <v>0.56069999999999998</v>
      </c>
      <c r="V305">
        <v>7.6E-3</v>
      </c>
      <c r="W305">
        <v>1.2500000000000001E-2</v>
      </c>
      <c r="X305">
        <v>8.9999999999999993E-3</v>
      </c>
      <c r="Y305">
        <v>6.8000000000000005E-2</v>
      </c>
      <c r="Z305">
        <v>3.6999999999999998E-2</v>
      </c>
    </row>
    <row r="306" spans="1:30" x14ac:dyDescent="0.25">
      <c r="A306" s="1" t="s">
        <v>1079</v>
      </c>
      <c r="J306" t="str">
        <f t="shared" si="24"/>
        <v xml:space="preserve">        50.5        0.95     -0.0104     -0.0001      0.0059       0.004       0.032       0.000              </v>
      </c>
      <c r="S306">
        <v>50.5</v>
      </c>
      <c r="T306">
        <v>0.95</v>
      </c>
      <c r="U306">
        <v>-1.04E-2</v>
      </c>
      <c r="V306">
        <v>-1E-4</v>
      </c>
      <c r="W306">
        <v>5.8999999999999999E-3</v>
      </c>
      <c r="X306">
        <v>4.0000000000000001E-3</v>
      </c>
      <c r="Y306">
        <v>3.2000000000000001E-2</v>
      </c>
      <c r="Z306">
        <v>0</v>
      </c>
    </row>
    <row r="307" spans="1:30" x14ac:dyDescent="0.25">
      <c r="A307" s="1" t="s">
        <v>1</v>
      </c>
    </row>
    <row r="308" spans="1:30" x14ac:dyDescent="0.25">
      <c r="A308" s="1" t="s">
        <v>1</v>
      </c>
    </row>
    <row r="309" spans="1:30" x14ac:dyDescent="0.25">
      <c r="A309" s="1" t="s">
        <v>1</v>
      </c>
    </row>
    <row r="310" spans="1:30" x14ac:dyDescent="0.25">
      <c r="A310" s="1" t="s">
        <v>258</v>
      </c>
      <c r="J310" s="43" t="s">
        <v>1790</v>
      </c>
      <c r="S310">
        <v>9000</v>
      </c>
      <c r="AC310" t="str">
        <f>CONCATENATE($V$16,$AC$13,S310)</f>
        <v>Ct@9000</v>
      </c>
      <c r="AD310" s="3" t="str">
        <f>CONCATENATE($W$16,$AC$13,S310)</f>
        <v>Cp@9000</v>
      </c>
    </row>
    <row r="311" spans="1:30" x14ac:dyDescent="0.25">
      <c r="A311" s="1" t="s">
        <v>1</v>
      </c>
    </row>
    <row r="312" spans="1:30" x14ac:dyDescent="0.25">
      <c r="A312" s="1" t="s">
        <v>9</v>
      </c>
      <c r="J312" t="str">
        <f>A312</f>
        <v xml:space="preserve">         V          J           Pe         Ct          Cp          PWR         Torque      Thrust             </v>
      </c>
      <c r="S312" t="s">
        <v>662</v>
      </c>
      <c r="T312" t="s">
        <v>663</v>
      </c>
      <c r="U312" t="s">
        <v>664</v>
      </c>
      <c r="V312" t="s">
        <v>665</v>
      </c>
      <c r="W312" t="s">
        <v>666</v>
      </c>
      <c r="X312" t="s">
        <v>667</v>
      </c>
      <c r="Y312" t="s">
        <v>668</v>
      </c>
      <c r="Z312" t="s">
        <v>669</v>
      </c>
    </row>
    <row r="313" spans="1:30" x14ac:dyDescent="0.25">
      <c r="A313" s="1" t="s">
        <v>10</v>
      </c>
      <c r="J313" t="str">
        <f t="shared" ref="J313:J343" si="25">A313</f>
        <v xml:space="preserve">       (mph)     (Adv Ratio)                                       (Hp)        (In-Lbf)     (Lbf)             </v>
      </c>
      <c r="S313" t="s">
        <v>670</v>
      </c>
      <c r="T313" t="s">
        <v>1780</v>
      </c>
      <c r="U313" t="s">
        <v>1781</v>
      </c>
      <c r="V313" t="s">
        <v>672</v>
      </c>
      <c r="W313" t="s">
        <v>673</v>
      </c>
      <c r="X313" t="s">
        <v>674</v>
      </c>
    </row>
    <row r="314" spans="1:30" x14ac:dyDescent="0.25">
      <c r="A314" s="1" t="s">
        <v>1080</v>
      </c>
      <c r="J314" t="str">
        <f t="shared" si="25"/>
        <v xml:space="preserve">         0.0        0.00      0.0000      0.1323      0.0665       0.066       0.459       0.820              </v>
      </c>
      <c r="S314">
        <v>0</v>
      </c>
      <c r="T314">
        <v>0</v>
      </c>
      <c r="U314">
        <v>0</v>
      </c>
      <c r="V314">
        <v>0.1323</v>
      </c>
      <c r="W314">
        <v>6.6500000000000004E-2</v>
      </c>
      <c r="X314">
        <v>6.6000000000000003E-2</v>
      </c>
      <c r="Y314">
        <v>0.45900000000000002</v>
      </c>
      <c r="Z314">
        <v>0.82</v>
      </c>
    </row>
    <row r="315" spans="1:30" x14ac:dyDescent="0.25">
      <c r="A315" s="1" t="s">
        <v>1081</v>
      </c>
      <c r="J315" t="str">
        <f t="shared" si="25"/>
        <v xml:space="preserve">         2.0        0.03      0.0639      0.1319      0.0677       0.067       0.467       0.817              </v>
      </c>
      <c r="S315">
        <v>2</v>
      </c>
      <c r="T315">
        <v>0.03</v>
      </c>
      <c r="U315">
        <v>6.3899999999999998E-2</v>
      </c>
      <c r="V315">
        <v>0.13189999999999999</v>
      </c>
      <c r="W315">
        <v>6.7699999999999996E-2</v>
      </c>
      <c r="X315">
        <v>6.7000000000000004E-2</v>
      </c>
      <c r="Y315">
        <v>0.46700000000000003</v>
      </c>
      <c r="Z315">
        <v>0.81699999999999995</v>
      </c>
    </row>
    <row r="316" spans="1:30" x14ac:dyDescent="0.25">
      <c r="A316" s="1" t="s">
        <v>1082</v>
      </c>
      <c r="J316" t="str">
        <f t="shared" si="25"/>
        <v xml:space="preserve">         3.9        0.07      0.1253      0.1314      0.0688       0.068       0.475       0.814              </v>
      </c>
      <c r="S316">
        <v>3.9</v>
      </c>
      <c r="T316">
        <v>7.0000000000000007E-2</v>
      </c>
      <c r="U316">
        <v>0.12529999999999999</v>
      </c>
      <c r="V316">
        <v>0.13139999999999999</v>
      </c>
      <c r="W316">
        <v>6.88E-2</v>
      </c>
      <c r="X316">
        <v>6.8000000000000005E-2</v>
      </c>
      <c r="Y316">
        <v>0.47499999999999998</v>
      </c>
      <c r="Z316">
        <v>0.81399999999999995</v>
      </c>
    </row>
    <row r="317" spans="1:30" x14ac:dyDescent="0.25">
      <c r="A317" s="1" t="s">
        <v>1083</v>
      </c>
      <c r="J317" t="str">
        <f t="shared" si="25"/>
        <v xml:space="preserve">         5.9        0.10      0.1839      0.1308      0.0700       0.069       0.483       0.811              </v>
      </c>
      <c r="S317">
        <v>5.9</v>
      </c>
      <c r="T317">
        <v>0.1</v>
      </c>
      <c r="U317">
        <v>0.18390000000000001</v>
      </c>
      <c r="V317">
        <v>0.1308</v>
      </c>
      <c r="W317">
        <v>7.0000000000000007E-2</v>
      </c>
      <c r="X317">
        <v>6.9000000000000006E-2</v>
      </c>
      <c r="Y317">
        <v>0.48299999999999998</v>
      </c>
      <c r="Z317">
        <v>0.81100000000000005</v>
      </c>
    </row>
    <row r="318" spans="1:30" x14ac:dyDescent="0.25">
      <c r="A318" s="1" t="s">
        <v>1084</v>
      </c>
      <c r="J318" t="str">
        <f t="shared" si="25"/>
        <v xml:space="preserve">         7.8        0.13      0.2399      0.1301      0.0711       0.070       0.491       0.806              </v>
      </c>
      <c r="S318">
        <v>7.8</v>
      </c>
      <c r="T318">
        <v>0.13</v>
      </c>
      <c r="U318">
        <v>0.2399</v>
      </c>
      <c r="V318">
        <v>0.13009999999999999</v>
      </c>
      <c r="W318">
        <v>7.1099999999999997E-2</v>
      </c>
      <c r="X318">
        <v>7.0000000000000007E-2</v>
      </c>
      <c r="Y318">
        <v>0.49099999999999999</v>
      </c>
      <c r="Z318">
        <v>0.80600000000000005</v>
      </c>
    </row>
    <row r="319" spans="1:30" x14ac:dyDescent="0.25">
      <c r="A319" s="1" t="s">
        <v>1085</v>
      </c>
      <c r="J319" t="str">
        <f t="shared" si="25"/>
        <v xml:space="preserve">         9.8        0.16      0.2933      0.1292      0.0722       0.071       0.498       0.800              </v>
      </c>
      <c r="S319">
        <v>9.8000000000000007</v>
      </c>
      <c r="T319">
        <v>0.16</v>
      </c>
      <c r="U319">
        <v>0.29330000000000001</v>
      </c>
      <c r="V319">
        <v>0.12920000000000001</v>
      </c>
      <c r="W319">
        <v>7.22E-2</v>
      </c>
      <c r="X319">
        <v>7.0999999999999994E-2</v>
      </c>
      <c r="Y319">
        <v>0.498</v>
      </c>
      <c r="Z319">
        <v>0.8</v>
      </c>
    </row>
    <row r="320" spans="1:30" x14ac:dyDescent="0.25">
      <c r="A320" s="1" t="s">
        <v>1086</v>
      </c>
      <c r="J320" t="str">
        <f t="shared" si="25"/>
        <v xml:space="preserve">        11.7        0.20      0.3439      0.1279      0.0732       0.072       0.505       0.793              </v>
      </c>
      <c r="S320">
        <v>11.7</v>
      </c>
      <c r="T320">
        <v>0.2</v>
      </c>
      <c r="U320">
        <v>0.34389999999999998</v>
      </c>
      <c r="V320">
        <v>0.12790000000000001</v>
      </c>
      <c r="W320">
        <v>7.3200000000000001E-2</v>
      </c>
      <c r="X320">
        <v>7.1999999999999995E-2</v>
      </c>
      <c r="Y320">
        <v>0.505</v>
      </c>
      <c r="Z320">
        <v>0.79300000000000004</v>
      </c>
    </row>
    <row r="321" spans="1:26" x14ac:dyDescent="0.25">
      <c r="A321" s="1" t="s">
        <v>1087</v>
      </c>
      <c r="J321" t="str">
        <f t="shared" si="25"/>
        <v xml:space="preserve">        13.7        0.23      0.3918      0.1264      0.0740       0.073       0.511       0.783              </v>
      </c>
      <c r="S321">
        <v>13.7</v>
      </c>
      <c r="T321">
        <v>0.23</v>
      </c>
      <c r="U321">
        <v>0.39179999999999998</v>
      </c>
      <c r="V321">
        <v>0.12640000000000001</v>
      </c>
      <c r="W321">
        <v>7.3999999999999996E-2</v>
      </c>
      <c r="X321">
        <v>7.2999999999999995E-2</v>
      </c>
      <c r="Y321">
        <v>0.51100000000000001</v>
      </c>
      <c r="Z321">
        <v>0.78300000000000003</v>
      </c>
    </row>
    <row r="322" spans="1:26" x14ac:dyDescent="0.25">
      <c r="A322" s="1" t="s">
        <v>1088</v>
      </c>
      <c r="J322" t="str">
        <f t="shared" si="25"/>
        <v xml:space="preserve">        15.6        0.26      0.4371      0.1244      0.0746       0.074       0.515       0.771              </v>
      </c>
      <c r="S322">
        <v>15.6</v>
      </c>
      <c r="T322">
        <v>0.26</v>
      </c>
      <c r="U322">
        <v>0.43709999999999999</v>
      </c>
      <c r="V322">
        <v>0.1244</v>
      </c>
      <c r="W322">
        <v>7.46E-2</v>
      </c>
      <c r="X322">
        <v>7.3999999999999996E-2</v>
      </c>
      <c r="Y322">
        <v>0.51500000000000001</v>
      </c>
      <c r="Z322">
        <v>0.77100000000000002</v>
      </c>
    </row>
    <row r="323" spans="1:26" x14ac:dyDescent="0.25">
      <c r="A323" s="1" t="s">
        <v>1089</v>
      </c>
      <c r="J323" t="str">
        <f t="shared" si="25"/>
        <v xml:space="preserve">        17.6        0.30      0.4797      0.1219      0.0750       0.074       0.518       0.755              </v>
      </c>
      <c r="S323">
        <v>17.600000000000001</v>
      </c>
      <c r="T323">
        <v>0.3</v>
      </c>
      <c r="U323">
        <v>0.47970000000000002</v>
      </c>
      <c r="V323">
        <v>0.12189999999999999</v>
      </c>
      <c r="W323">
        <v>7.4999999999999997E-2</v>
      </c>
      <c r="X323">
        <v>7.3999999999999996E-2</v>
      </c>
      <c r="Y323">
        <v>0.51800000000000002</v>
      </c>
      <c r="Z323">
        <v>0.755</v>
      </c>
    </row>
    <row r="324" spans="1:26" x14ac:dyDescent="0.25">
      <c r="A324" s="1" t="s">
        <v>1090</v>
      </c>
      <c r="J324" t="str">
        <f t="shared" si="25"/>
        <v xml:space="preserve">        19.6        0.33      0.5195      0.1190      0.0751       0.074       0.518       0.737              </v>
      </c>
      <c r="S324">
        <v>19.600000000000001</v>
      </c>
      <c r="T324">
        <v>0.33</v>
      </c>
      <c r="U324">
        <v>0.51949999999999996</v>
      </c>
      <c r="V324">
        <v>0.11899999999999999</v>
      </c>
      <c r="W324">
        <v>7.51E-2</v>
      </c>
      <c r="X324">
        <v>7.3999999999999996E-2</v>
      </c>
      <c r="Y324">
        <v>0.51800000000000002</v>
      </c>
      <c r="Z324">
        <v>0.73699999999999999</v>
      </c>
    </row>
    <row r="325" spans="1:26" x14ac:dyDescent="0.25">
      <c r="A325" s="1" t="s">
        <v>1091</v>
      </c>
      <c r="J325" t="str">
        <f t="shared" si="25"/>
        <v xml:space="preserve">        21.5        0.36      0.5565      0.1156      0.0749       0.074       0.517       0.716              </v>
      </c>
      <c r="S325">
        <v>21.5</v>
      </c>
      <c r="T325">
        <v>0.36</v>
      </c>
      <c r="U325">
        <v>0.55649999999999999</v>
      </c>
      <c r="V325">
        <v>0.11559999999999999</v>
      </c>
      <c r="W325">
        <v>7.4899999999999994E-2</v>
      </c>
      <c r="X325">
        <v>7.3999999999999996E-2</v>
      </c>
      <c r="Y325">
        <v>0.51700000000000002</v>
      </c>
      <c r="Z325">
        <v>0.71599999999999997</v>
      </c>
    </row>
    <row r="326" spans="1:26" x14ac:dyDescent="0.25">
      <c r="A326" s="1" t="s">
        <v>1092</v>
      </c>
      <c r="J326" t="str">
        <f t="shared" si="25"/>
        <v xml:space="preserve">        23.5        0.39      0.5907      0.1116      0.0743       0.073       0.513       0.691              </v>
      </c>
      <c r="S326">
        <v>23.5</v>
      </c>
      <c r="T326">
        <v>0.39</v>
      </c>
      <c r="U326">
        <v>0.5907</v>
      </c>
      <c r="V326">
        <v>0.1116</v>
      </c>
      <c r="W326">
        <v>7.4300000000000005E-2</v>
      </c>
      <c r="X326">
        <v>7.2999999999999995E-2</v>
      </c>
      <c r="Y326">
        <v>0.51300000000000001</v>
      </c>
      <c r="Z326">
        <v>0.69099999999999995</v>
      </c>
    </row>
    <row r="327" spans="1:26" x14ac:dyDescent="0.25">
      <c r="A327" s="1" t="s">
        <v>1093</v>
      </c>
      <c r="J327" t="str">
        <f t="shared" si="25"/>
        <v xml:space="preserve">        25.4        0.43      0.6220      0.1071      0.0734       0.072       0.507       0.664              </v>
      </c>
      <c r="S327">
        <v>25.4</v>
      </c>
      <c r="T327">
        <v>0.43</v>
      </c>
      <c r="U327">
        <v>0.622</v>
      </c>
      <c r="V327">
        <v>0.1071</v>
      </c>
      <c r="W327">
        <v>7.3400000000000007E-2</v>
      </c>
      <c r="X327">
        <v>7.1999999999999995E-2</v>
      </c>
      <c r="Y327">
        <v>0.50700000000000001</v>
      </c>
      <c r="Z327">
        <v>0.66400000000000003</v>
      </c>
    </row>
    <row r="328" spans="1:26" x14ac:dyDescent="0.25">
      <c r="A328" s="1" t="s">
        <v>1094</v>
      </c>
      <c r="J328" t="str">
        <f t="shared" si="25"/>
        <v xml:space="preserve">        27.4        0.46      0.6503      0.1021      0.0721       0.071       0.498       0.633              </v>
      </c>
      <c r="S328">
        <v>27.4</v>
      </c>
      <c r="T328">
        <v>0.46</v>
      </c>
      <c r="U328">
        <v>0.65029999999999999</v>
      </c>
      <c r="V328">
        <v>0.1021</v>
      </c>
      <c r="W328">
        <v>7.2099999999999997E-2</v>
      </c>
      <c r="X328">
        <v>7.0999999999999994E-2</v>
      </c>
      <c r="Y328">
        <v>0.498</v>
      </c>
      <c r="Z328">
        <v>0.63300000000000001</v>
      </c>
    </row>
    <row r="329" spans="1:26" x14ac:dyDescent="0.25">
      <c r="A329" s="1" t="s">
        <v>1095</v>
      </c>
      <c r="J329" t="str">
        <f t="shared" si="25"/>
        <v xml:space="preserve">        29.3        0.49      0.6755      0.0967      0.0704       0.069       0.486       0.599              </v>
      </c>
      <c r="S329">
        <v>29.3</v>
      </c>
      <c r="T329">
        <v>0.49</v>
      </c>
      <c r="U329">
        <v>0.67549999999999999</v>
      </c>
      <c r="V329">
        <v>9.6699999999999994E-2</v>
      </c>
      <c r="W329">
        <v>7.0400000000000004E-2</v>
      </c>
      <c r="X329">
        <v>6.9000000000000006E-2</v>
      </c>
      <c r="Y329">
        <v>0.48599999999999999</v>
      </c>
      <c r="Z329">
        <v>0.59899999999999998</v>
      </c>
    </row>
    <row r="330" spans="1:26" x14ac:dyDescent="0.25">
      <c r="A330" s="1" t="s">
        <v>1096</v>
      </c>
      <c r="J330" t="str">
        <f t="shared" si="25"/>
        <v xml:space="preserve">        31.3        0.52      0.6977      0.0908      0.0682       0.067       0.471       0.562              </v>
      </c>
      <c r="S330">
        <v>31.3</v>
      </c>
      <c r="T330">
        <v>0.52</v>
      </c>
      <c r="U330">
        <v>0.69769999999999999</v>
      </c>
      <c r="V330">
        <v>9.0800000000000006E-2</v>
      </c>
      <c r="W330">
        <v>6.8199999999999997E-2</v>
      </c>
      <c r="X330">
        <v>6.7000000000000004E-2</v>
      </c>
      <c r="Y330">
        <v>0.47099999999999997</v>
      </c>
      <c r="Z330">
        <v>0.56200000000000006</v>
      </c>
    </row>
    <row r="331" spans="1:26" x14ac:dyDescent="0.25">
      <c r="A331" s="1" t="s">
        <v>1097</v>
      </c>
      <c r="J331" t="str">
        <f t="shared" si="25"/>
        <v xml:space="preserve">        33.3        0.56      0.7169      0.0847      0.0658       0.065       0.454       0.525              </v>
      </c>
      <c r="S331">
        <v>33.299999999999997</v>
      </c>
      <c r="T331">
        <v>0.56000000000000005</v>
      </c>
      <c r="U331">
        <v>0.71689999999999998</v>
      </c>
      <c r="V331">
        <v>8.4699999999999998E-2</v>
      </c>
      <c r="W331">
        <v>6.5799999999999997E-2</v>
      </c>
      <c r="X331">
        <v>6.5000000000000002E-2</v>
      </c>
      <c r="Y331">
        <v>0.45400000000000001</v>
      </c>
      <c r="Z331">
        <v>0.52500000000000002</v>
      </c>
    </row>
    <row r="332" spans="1:26" x14ac:dyDescent="0.25">
      <c r="A332" s="1" t="s">
        <v>1098</v>
      </c>
      <c r="J332" t="str">
        <f t="shared" si="25"/>
        <v xml:space="preserve">        35.2        0.59      0.7332      0.0785      0.0631       0.062       0.436       0.486              </v>
      </c>
      <c r="S332">
        <v>35.200000000000003</v>
      </c>
      <c r="T332">
        <v>0.59</v>
      </c>
      <c r="U332">
        <v>0.73319999999999996</v>
      </c>
      <c r="V332">
        <v>7.85E-2</v>
      </c>
      <c r="W332">
        <v>6.3100000000000003E-2</v>
      </c>
      <c r="X332">
        <v>6.2E-2</v>
      </c>
      <c r="Y332">
        <v>0.436</v>
      </c>
      <c r="Z332">
        <v>0.48599999999999999</v>
      </c>
    </row>
    <row r="333" spans="1:26" x14ac:dyDescent="0.25">
      <c r="A333" s="1" t="s">
        <v>1099</v>
      </c>
      <c r="J333" t="str">
        <f t="shared" si="25"/>
        <v xml:space="preserve">        37.2        0.62      0.7470      0.0721      0.0601       0.059       0.415       0.447              </v>
      </c>
      <c r="S333">
        <v>37.200000000000003</v>
      </c>
      <c r="T333">
        <v>0.62</v>
      </c>
      <c r="U333">
        <v>0.747</v>
      </c>
      <c r="V333">
        <v>7.2099999999999997E-2</v>
      </c>
      <c r="W333">
        <v>6.0100000000000001E-2</v>
      </c>
      <c r="X333">
        <v>5.8999999999999997E-2</v>
      </c>
      <c r="Y333">
        <v>0.41499999999999998</v>
      </c>
      <c r="Z333">
        <v>0.44700000000000001</v>
      </c>
    </row>
    <row r="334" spans="1:26" x14ac:dyDescent="0.25">
      <c r="A334" s="1" t="s">
        <v>1100</v>
      </c>
      <c r="J334" t="str">
        <f t="shared" si="25"/>
        <v xml:space="preserve">        39.1        0.66      0.7583      0.0656      0.0567       0.056       0.392       0.406              </v>
      </c>
      <c r="S334">
        <v>39.1</v>
      </c>
      <c r="T334">
        <v>0.66</v>
      </c>
      <c r="U334">
        <v>0.75829999999999997</v>
      </c>
      <c r="V334">
        <v>6.5600000000000006E-2</v>
      </c>
      <c r="W334">
        <v>5.67E-2</v>
      </c>
      <c r="X334">
        <v>5.6000000000000001E-2</v>
      </c>
      <c r="Y334">
        <v>0.39200000000000002</v>
      </c>
      <c r="Z334">
        <v>0.40600000000000003</v>
      </c>
    </row>
    <row r="335" spans="1:26" x14ac:dyDescent="0.25">
      <c r="A335" s="1" t="s">
        <v>1101</v>
      </c>
      <c r="J335" t="str">
        <f t="shared" si="25"/>
        <v xml:space="preserve">        41.1        0.69      0.7675      0.0589      0.0529       0.052       0.365       0.365              </v>
      </c>
      <c r="S335">
        <v>41.1</v>
      </c>
      <c r="T335">
        <v>0.69</v>
      </c>
      <c r="U335">
        <v>0.76749999999999996</v>
      </c>
      <c r="V335">
        <v>5.8900000000000001E-2</v>
      </c>
      <c r="W335">
        <v>5.2900000000000003E-2</v>
      </c>
      <c r="X335">
        <v>5.1999999999999998E-2</v>
      </c>
      <c r="Y335">
        <v>0.36499999999999999</v>
      </c>
      <c r="Z335">
        <v>0.36499999999999999</v>
      </c>
    </row>
    <row r="336" spans="1:26" x14ac:dyDescent="0.25">
      <c r="A336" s="1" t="s">
        <v>1102</v>
      </c>
      <c r="J336" t="str">
        <f t="shared" si="25"/>
        <v xml:space="preserve">        43.0        0.72      0.7744      0.0521      0.0485       0.048       0.335       0.323              </v>
      </c>
      <c r="S336">
        <v>43</v>
      </c>
      <c r="T336">
        <v>0.72</v>
      </c>
      <c r="U336">
        <v>0.77439999999999998</v>
      </c>
      <c r="V336">
        <v>5.21E-2</v>
      </c>
      <c r="W336">
        <v>4.8500000000000001E-2</v>
      </c>
      <c r="X336">
        <v>4.8000000000000001E-2</v>
      </c>
      <c r="Y336">
        <v>0.33500000000000002</v>
      </c>
      <c r="Z336">
        <v>0.32300000000000001</v>
      </c>
    </row>
    <row r="337" spans="1:34" x14ac:dyDescent="0.25">
      <c r="A337" s="1" t="s">
        <v>1103</v>
      </c>
      <c r="J337" t="str">
        <f t="shared" si="25"/>
        <v xml:space="preserve">        45.0        0.75      0.7784      0.0451      0.0437       0.043       0.301       0.279              </v>
      </c>
      <c r="S337">
        <v>45</v>
      </c>
      <c r="T337">
        <v>0.75</v>
      </c>
      <c r="U337">
        <v>0.77839999999999998</v>
      </c>
      <c r="V337">
        <v>4.5100000000000001E-2</v>
      </c>
      <c r="W337">
        <v>4.3700000000000003E-2</v>
      </c>
      <c r="X337">
        <v>4.2999999999999997E-2</v>
      </c>
      <c r="Y337">
        <v>0.30099999999999999</v>
      </c>
      <c r="Z337">
        <v>0.27900000000000003</v>
      </c>
    </row>
    <row r="338" spans="1:34" x14ac:dyDescent="0.25">
      <c r="A338" s="1" t="s">
        <v>1104</v>
      </c>
      <c r="J338" t="str">
        <f t="shared" si="25"/>
        <v xml:space="preserve">        46.9        0.79      0.7783      0.0379      0.0383       0.038       0.264       0.235              </v>
      </c>
      <c r="S338">
        <v>46.9</v>
      </c>
      <c r="T338">
        <v>0.79</v>
      </c>
      <c r="U338">
        <v>0.77829999999999999</v>
      </c>
      <c r="V338">
        <v>3.7900000000000003E-2</v>
      </c>
      <c r="W338">
        <v>3.8300000000000001E-2</v>
      </c>
      <c r="X338">
        <v>3.7999999999999999E-2</v>
      </c>
      <c r="Y338">
        <v>0.26400000000000001</v>
      </c>
      <c r="Z338">
        <v>0.23499999999999999</v>
      </c>
    </row>
    <row r="339" spans="1:34" x14ac:dyDescent="0.25">
      <c r="A339" s="1" t="s">
        <v>1105</v>
      </c>
      <c r="J339" t="str">
        <f t="shared" si="25"/>
        <v xml:space="preserve">        48.9        0.82      0.7717      0.0306      0.0324       0.032       0.224       0.189              </v>
      </c>
      <c r="S339">
        <v>48.9</v>
      </c>
      <c r="T339">
        <v>0.82</v>
      </c>
      <c r="U339">
        <v>0.77170000000000005</v>
      </c>
      <c r="V339">
        <v>3.0599999999999999E-2</v>
      </c>
      <c r="W339">
        <v>3.2399999999999998E-2</v>
      </c>
      <c r="X339">
        <v>3.2000000000000001E-2</v>
      </c>
      <c r="Y339">
        <v>0.224</v>
      </c>
      <c r="Z339">
        <v>0.189</v>
      </c>
    </row>
    <row r="340" spans="1:34" x14ac:dyDescent="0.25">
      <c r="A340" s="1" t="s">
        <v>1106</v>
      </c>
      <c r="J340" t="str">
        <f t="shared" si="25"/>
        <v xml:space="preserve">        50.9        0.85      0.7505      0.0230      0.0262       0.026       0.181       0.143              </v>
      </c>
      <c r="S340">
        <v>50.9</v>
      </c>
      <c r="T340">
        <v>0.85</v>
      </c>
      <c r="U340">
        <v>0.75049999999999994</v>
      </c>
      <c r="V340">
        <v>2.3E-2</v>
      </c>
      <c r="W340">
        <v>2.6200000000000001E-2</v>
      </c>
      <c r="X340">
        <v>2.5999999999999999E-2</v>
      </c>
      <c r="Y340">
        <v>0.18099999999999999</v>
      </c>
      <c r="Z340">
        <v>0.14299999999999999</v>
      </c>
    </row>
    <row r="341" spans="1:34" x14ac:dyDescent="0.25">
      <c r="A341" s="1" t="s">
        <v>1107</v>
      </c>
      <c r="J341" t="str">
        <f t="shared" si="25"/>
        <v xml:space="preserve">        52.8        0.89      0.6998      0.0154      0.0195       0.019       0.135       0.096              </v>
      </c>
      <c r="S341">
        <v>52.8</v>
      </c>
      <c r="T341">
        <v>0.89</v>
      </c>
      <c r="U341">
        <v>0.69979999999999998</v>
      </c>
      <c r="V341">
        <v>1.54E-2</v>
      </c>
      <c r="W341">
        <v>1.95E-2</v>
      </c>
      <c r="X341">
        <v>1.9E-2</v>
      </c>
      <c r="Y341">
        <v>0.13500000000000001</v>
      </c>
      <c r="Z341">
        <v>9.6000000000000002E-2</v>
      </c>
    </row>
    <row r="342" spans="1:34" x14ac:dyDescent="0.25">
      <c r="A342" s="1" t="s">
        <v>1108</v>
      </c>
      <c r="J342" t="str">
        <f t="shared" si="25"/>
        <v xml:space="preserve">        54.8        0.92      0.5666      0.0078      0.0126       0.012       0.087       0.048              </v>
      </c>
      <c r="S342">
        <v>54.8</v>
      </c>
      <c r="T342">
        <v>0.92</v>
      </c>
      <c r="U342">
        <v>0.56659999999999999</v>
      </c>
      <c r="V342">
        <v>7.7999999999999996E-3</v>
      </c>
      <c r="W342">
        <v>1.26E-2</v>
      </c>
      <c r="X342">
        <v>1.2E-2</v>
      </c>
      <c r="Y342">
        <v>8.6999999999999994E-2</v>
      </c>
      <c r="Z342">
        <v>4.8000000000000001E-2</v>
      </c>
    </row>
    <row r="343" spans="1:34" x14ac:dyDescent="0.25">
      <c r="A343" s="1" t="s">
        <v>1109</v>
      </c>
      <c r="J343" t="str">
        <f t="shared" si="25"/>
        <v xml:space="preserve">        56.7        0.95     -0.0121     -0.0001      0.0058       0.006       0.040       0.000              </v>
      </c>
      <c r="S343">
        <v>56.7</v>
      </c>
      <c r="T343">
        <v>0.95</v>
      </c>
      <c r="U343">
        <v>-1.21E-2</v>
      </c>
      <c r="V343">
        <v>-1E-4</v>
      </c>
      <c r="W343">
        <v>5.7999999999999996E-3</v>
      </c>
      <c r="X343">
        <v>6.0000000000000001E-3</v>
      </c>
      <c r="Y343">
        <v>0.04</v>
      </c>
      <c r="Z343">
        <v>0</v>
      </c>
    </row>
    <row r="344" spans="1:34" x14ac:dyDescent="0.25">
      <c r="A344" s="1" t="s">
        <v>1</v>
      </c>
    </row>
    <row r="345" spans="1:34" x14ac:dyDescent="0.25">
      <c r="A345" s="1" t="s">
        <v>1</v>
      </c>
    </row>
    <row r="346" spans="1:34" x14ac:dyDescent="0.25">
      <c r="A346" s="1" t="s">
        <v>1</v>
      </c>
    </row>
    <row r="347" spans="1:34" x14ac:dyDescent="0.25">
      <c r="A347" s="1" t="s">
        <v>289</v>
      </c>
      <c r="J347" s="43" t="s">
        <v>1791</v>
      </c>
      <c r="S347">
        <v>10000</v>
      </c>
      <c r="AC347" t="str">
        <f>CONCATENATE($V$16,$AC$13,S347)</f>
        <v>Ct@10000</v>
      </c>
      <c r="AD347" s="3" t="str">
        <f>CONCATENATE($W$16,$AC$13,S347)</f>
        <v>Cp@10000</v>
      </c>
      <c r="AE347" s="3" t="str">
        <f>CONCATENATE($AF$16,$AC$13,S347)</f>
        <v>Kq@10000</v>
      </c>
    </row>
    <row r="348" spans="1:34" x14ac:dyDescent="0.25">
      <c r="A348" s="1" t="s">
        <v>1</v>
      </c>
    </row>
    <row r="349" spans="1:34" x14ac:dyDescent="0.25">
      <c r="A349" s="1" t="s">
        <v>9</v>
      </c>
      <c r="J349" t="str">
        <f>A349</f>
        <v xml:space="preserve">         V          J           Pe         Ct          Cp          PWR         Torque      Thrust             </v>
      </c>
      <c r="S349" t="s">
        <v>662</v>
      </c>
      <c r="T349" t="s">
        <v>663</v>
      </c>
      <c r="U349" t="s">
        <v>664</v>
      </c>
      <c r="V349" t="s">
        <v>665</v>
      </c>
      <c r="W349" t="s">
        <v>666</v>
      </c>
      <c r="X349" t="s">
        <v>667</v>
      </c>
      <c r="Y349" t="s">
        <v>668</v>
      </c>
      <c r="Z349" t="s">
        <v>669</v>
      </c>
      <c r="AF349" t="s">
        <v>702</v>
      </c>
      <c r="AG349" t="s">
        <v>698</v>
      </c>
      <c r="AH349" t="s">
        <v>700</v>
      </c>
    </row>
    <row r="350" spans="1:34" x14ac:dyDescent="0.25">
      <c r="A350" s="1" t="s">
        <v>10</v>
      </c>
      <c r="J350" t="str">
        <f t="shared" ref="J350:J380" si="26">A350</f>
        <v xml:space="preserve">       (mph)     (Adv Ratio)                                       (Hp)        (In-Lbf)     (Lbf)             </v>
      </c>
      <c r="S350" t="s">
        <v>670</v>
      </c>
      <c r="T350" t="s">
        <v>1780</v>
      </c>
      <c r="U350" t="s">
        <v>1781</v>
      </c>
      <c r="V350" t="s">
        <v>672</v>
      </c>
      <c r="W350" t="s">
        <v>673</v>
      </c>
      <c r="X350" t="s">
        <v>674</v>
      </c>
      <c r="AF350" t="s">
        <v>703</v>
      </c>
      <c r="AG350" t="s">
        <v>699</v>
      </c>
      <c r="AH350" t="s">
        <v>699</v>
      </c>
    </row>
    <row r="351" spans="1:34" x14ac:dyDescent="0.25">
      <c r="A351" s="1" t="s">
        <v>1110</v>
      </c>
      <c r="J351" t="str">
        <f t="shared" si="26"/>
        <v xml:space="preserve">         0.0        0.00      0.0000      0.1322      0.0654       0.088       0.557       1.011              </v>
      </c>
      <c r="S351">
        <v>0</v>
      </c>
      <c r="T351">
        <v>0</v>
      </c>
      <c r="U351">
        <v>0</v>
      </c>
      <c r="V351">
        <v>0.13220000000000001</v>
      </c>
      <c r="W351">
        <v>6.54E-2</v>
      </c>
      <c r="X351">
        <v>8.7999999999999995E-2</v>
      </c>
      <c r="Y351">
        <v>0.55700000000000005</v>
      </c>
      <c r="Z351">
        <v>1.0109999999999999</v>
      </c>
      <c r="AF351">
        <f t="shared" ref="AF351:AF379" si="27">(Y351*(1/12))/(AG351*(($S$347*(1/60))^2)*($AJ$36*(1/12))^5)</f>
        <v>1.0404889077292643E-2</v>
      </c>
      <c r="AG351">
        <f t="shared" ref="AG351:AG379" si="28">Z351/(V351*(($S$347*(1/60))^2)*(($AJ$36*(1/12))^4))</f>
        <v>2.377688872702437E-3</v>
      </c>
      <c r="AH351">
        <f>AVERAGE(AG351:AG379)</f>
        <v>2.3790251332058568E-3</v>
      </c>
    </row>
    <row r="352" spans="1:34" x14ac:dyDescent="0.25">
      <c r="A352" s="1" t="s">
        <v>1111</v>
      </c>
      <c r="J352" t="str">
        <f t="shared" si="26"/>
        <v xml:space="preserve">         2.2        0.03      0.0648      0.1319      0.0666       0.090       0.568       1.008              </v>
      </c>
      <c r="S352">
        <v>2.2000000000000002</v>
      </c>
      <c r="T352">
        <v>0.03</v>
      </c>
      <c r="U352">
        <v>6.4799999999999996E-2</v>
      </c>
      <c r="V352">
        <v>0.13189999999999999</v>
      </c>
      <c r="W352">
        <v>6.6600000000000006E-2</v>
      </c>
      <c r="X352">
        <v>0.09</v>
      </c>
      <c r="Y352">
        <v>0.56799999999999995</v>
      </c>
      <c r="Z352">
        <v>1.008</v>
      </c>
      <c r="AF352">
        <f t="shared" si="27"/>
        <v>1.0617800453514738E-2</v>
      </c>
      <c r="AG352">
        <f t="shared" si="28"/>
        <v>2.3760253040889289E-3</v>
      </c>
    </row>
    <row r="353" spans="1:33" x14ac:dyDescent="0.25">
      <c r="A353" s="1" t="s">
        <v>1112</v>
      </c>
      <c r="J353" t="str">
        <f t="shared" si="26"/>
        <v xml:space="preserve">         4.3        0.07      0.1269      0.1313      0.0678       0.092       0.578       1.005              </v>
      </c>
      <c r="S353">
        <v>4.3</v>
      </c>
      <c r="T353">
        <v>7.0000000000000007E-2</v>
      </c>
      <c r="U353">
        <v>0.12690000000000001</v>
      </c>
      <c r="V353">
        <v>0.1313</v>
      </c>
      <c r="W353">
        <v>6.7799999999999999E-2</v>
      </c>
      <c r="X353">
        <v>9.1999999999999998E-2</v>
      </c>
      <c r="Y353">
        <v>0.57799999999999996</v>
      </c>
      <c r="Z353">
        <v>1.0049999999999999</v>
      </c>
      <c r="AF353">
        <f t="shared" si="27"/>
        <v>1.0787690120824452E-2</v>
      </c>
      <c r="AG353">
        <f t="shared" si="28"/>
        <v>2.37977917934042E-3</v>
      </c>
    </row>
    <row r="354" spans="1:33" x14ac:dyDescent="0.25">
      <c r="A354" s="1" t="s">
        <v>1113</v>
      </c>
      <c r="J354" t="str">
        <f t="shared" si="26"/>
        <v xml:space="preserve">         6.5        0.10      0.1861      0.1307      0.0691       0.093       0.589       1.000              </v>
      </c>
      <c r="S354">
        <v>6.5</v>
      </c>
      <c r="T354">
        <v>0.1</v>
      </c>
      <c r="U354">
        <v>0.18609999999999999</v>
      </c>
      <c r="V354">
        <v>0.13070000000000001</v>
      </c>
      <c r="W354">
        <v>6.9099999999999995E-2</v>
      </c>
      <c r="X354">
        <v>9.2999999999999999E-2</v>
      </c>
      <c r="Y354">
        <v>0.58899999999999997</v>
      </c>
      <c r="Z354">
        <v>1</v>
      </c>
      <c r="AF354">
        <f t="shared" si="27"/>
        <v>1.0997471428571428E-2</v>
      </c>
      <c r="AG354">
        <f t="shared" si="28"/>
        <v>2.3788099003635012E-3</v>
      </c>
    </row>
    <row r="355" spans="1:33" x14ac:dyDescent="0.25">
      <c r="A355" s="1" t="s">
        <v>1114</v>
      </c>
      <c r="J355" t="str">
        <f t="shared" si="26"/>
        <v xml:space="preserve">         8.7        0.13      0.2424      0.1300      0.0703       0.095       0.599       0.994              </v>
      </c>
      <c r="S355">
        <v>8.6999999999999993</v>
      </c>
      <c r="T355">
        <v>0.13</v>
      </c>
      <c r="U355">
        <v>0.2424</v>
      </c>
      <c r="V355">
        <v>0.13</v>
      </c>
      <c r="W355">
        <v>7.0300000000000001E-2</v>
      </c>
      <c r="X355">
        <v>9.5000000000000001E-2</v>
      </c>
      <c r="Y355">
        <v>0.59899999999999998</v>
      </c>
      <c r="Z355">
        <v>0.99399999999999999</v>
      </c>
      <c r="AF355">
        <f t="shared" si="27"/>
        <v>1.1191434320206958E-2</v>
      </c>
      <c r="AG355">
        <f t="shared" si="28"/>
        <v>2.3772691634895734E-3</v>
      </c>
    </row>
    <row r="356" spans="1:33" x14ac:dyDescent="0.25">
      <c r="A356" s="1" t="s">
        <v>1115</v>
      </c>
      <c r="J356" t="str">
        <f t="shared" si="26"/>
        <v xml:space="preserve">        10.9        0.16      0.2960      0.1291      0.0715       0.097       0.609       0.988              </v>
      </c>
      <c r="S356">
        <v>10.9</v>
      </c>
      <c r="T356">
        <v>0.16</v>
      </c>
      <c r="U356">
        <v>0.29599999999999999</v>
      </c>
      <c r="V356">
        <v>0.12909999999999999</v>
      </c>
      <c r="W356">
        <v>7.1499999999999994E-2</v>
      </c>
      <c r="X356">
        <v>9.7000000000000003E-2</v>
      </c>
      <c r="Y356">
        <v>0.60899999999999999</v>
      </c>
      <c r="Z356">
        <v>0.98799999999999999</v>
      </c>
      <c r="AF356">
        <f t="shared" si="27"/>
        <v>1.1368117408906883E-2</v>
      </c>
      <c r="AG356">
        <f t="shared" si="28"/>
        <v>2.3793921652190513E-3</v>
      </c>
    </row>
    <row r="357" spans="1:33" x14ac:dyDescent="0.25">
      <c r="A357" s="1" t="s">
        <v>1116</v>
      </c>
      <c r="J357" t="str">
        <f t="shared" si="26"/>
        <v xml:space="preserve">        13.0        0.20      0.3467      0.1279      0.0725       0.098       0.618       0.978              </v>
      </c>
      <c r="S357">
        <v>13</v>
      </c>
      <c r="T357">
        <v>0.2</v>
      </c>
      <c r="U357">
        <v>0.34670000000000001</v>
      </c>
      <c r="V357">
        <v>0.12790000000000001</v>
      </c>
      <c r="W357">
        <v>7.2499999999999995E-2</v>
      </c>
      <c r="X357">
        <v>9.8000000000000004E-2</v>
      </c>
      <c r="Y357">
        <v>0.61799999999999999</v>
      </c>
      <c r="Z357">
        <v>0.97799999999999998</v>
      </c>
      <c r="AF357">
        <f t="shared" si="27"/>
        <v>1.1545749342681861E-2</v>
      </c>
      <c r="AG357">
        <f t="shared" si="28"/>
        <v>2.3774075370602372E-3</v>
      </c>
    </row>
    <row r="358" spans="1:33" x14ac:dyDescent="0.25">
      <c r="A358" s="1" t="s">
        <v>1117</v>
      </c>
      <c r="J358" t="str">
        <f t="shared" si="26"/>
        <v xml:space="preserve">        15.2        0.23      0.3948      0.1263      0.0734       0.099       0.626       0.966              </v>
      </c>
      <c r="S358">
        <v>15.2</v>
      </c>
      <c r="T358">
        <v>0.23</v>
      </c>
      <c r="U358">
        <v>0.39479999999999998</v>
      </c>
      <c r="V358">
        <v>0.1263</v>
      </c>
      <c r="W358">
        <v>7.3400000000000007E-2</v>
      </c>
      <c r="X358">
        <v>9.9000000000000005E-2</v>
      </c>
      <c r="Y358">
        <v>0.626</v>
      </c>
      <c r="Z358">
        <v>0.96599999999999997</v>
      </c>
      <c r="AF358">
        <f t="shared" si="27"/>
        <v>1.169236912156167E-2</v>
      </c>
      <c r="AG358">
        <f t="shared" si="28"/>
        <v>2.3779849449111191E-3</v>
      </c>
    </row>
    <row r="359" spans="1:33" x14ac:dyDescent="0.25">
      <c r="A359" s="1" t="s">
        <v>1118</v>
      </c>
      <c r="J359" t="str">
        <f t="shared" si="26"/>
        <v xml:space="preserve">        17.4        0.26      0.4400      0.1244      0.0741       0.100       0.631       0.951              </v>
      </c>
      <c r="S359">
        <v>17.399999999999999</v>
      </c>
      <c r="T359">
        <v>0.26</v>
      </c>
      <c r="U359">
        <v>0.44</v>
      </c>
      <c r="V359">
        <v>0.1244</v>
      </c>
      <c r="W359">
        <v>7.4099999999999999E-2</v>
      </c>
      <c r="X359">
        <v>0.1</v>
      </c>
      <c r="Y359">
        <v>0.63100000000000001</v>
      </c>
      <c r="Z359">
        <v>0.95099999999999996</v>
      </c>
      <c r="AF359">
        <f t="shared" si="27"/>
        <v>1.1791557758750189E-2</v>
      </c>
      <c r="AG359">
        <f t="shared" si="28"/>
        <v>2.3768154480113476E-3</v>
      </c>
    </row>
    <row r="360" spans="1:33" x14ac:dyDescent="0.25">
      <c r="A360" s="1" t="s">
        <v>1119</v>
      </c>
      <c r="J360" t="str">
        <f t="shared" si="26"/>
        <v xml:space="preserve">        19.5        0.29      0.4825      0.1219      0.0745       0.101       0.635       0.933              </v>
      </c>
      <c r="S360">
        <v>19.5</v>
      </c>
      <c r="T360">
        <v>0.28999999999999998</v>
      </c>
      <c r="U360">
        <v>0.48249999999999998</v>
      </c>
      <c r="V360">
        <v>0.12189999999999999</v>
      </c>
      <c r="W360">
        <v>7.4499999999999997E-2</v>
      </c>
      <c r="X360">
        <v>0.10100000000000001</v>
      </c>
      <c r="Y360">
        <v>0.63500000000000001</v>
      </c>
      <c r="Z360">
        <v>0.93300000000000005</v>
      </c>
      <c r="AF360">
        <f t="shared" si="27"/>
        <v>1.1852166590108713E-2</v>
      </c>
      <c r="AG360">
        <f t="shared" si="28"/>
        <v>2.3796509726088312E-3</v>
      </c>
    </row>
    <row r="361" spans="1:33" x14ac:dyDescent="0.25">
      <c r="A361" s="1" t="s">
        <v>1120</v>
      </c>
      <c r="J361" t="str">
        <f t="shared" si="26"/>
        <v xml:space="preserve">        21.7        0.33      0.5223      0.1190      0.0747       0.101       0.636       0.910              </v>
      </c>
      <c r="S361">
        <v>21.7</v>
      </c>
      <c r="T361">
        <v>0.33</v>
      </c>
      <c r="U361">
        <v>0.52229999999999999</v>
      </c>
      <c r="V361">
        <v>0.11899999999999999</v>
      </c>
      <c r="W361">
        <v>7.4700000000000003E-2</v>
      </c>
      <c r="X361">
        <v>0.10100000000000001</v>
      </c>
      <c r="Y361">
        <v>0.63600000000000001</v>
      </c>
      <c r="Z361">
        <v>0.91</v>
      </c>
      <c r="AF361">
        <f t="shared" si="27"/>
        <v>1.188131868131868E-2</v>
      </c>
      <c r="AG361">
        <f t="shared" si="28"/>
        <v>2.3775505304162504E-3</v>
      </c>
    </row>
    <row r="362" spans="1:33" x14ac:dyDescent="0.25">
      <c r="A362" s="1" t="s">
        <v>1121</v>
      </c>
      <c r="J362" t="str">
        <f t="shared" si="26"/>
        <v xml:space="preserve">        23.9        0.36      0.5593      0.1156      0.0745       0.101       0.635       0.885              </v>
      </c>
      <c r="S362">
        <v>23.9</v>
      </c>
      <c r="T362">
        <v>0.36</v>
      </c>
      <c r="U362">
        <v>0.55930000000000002</v>
      </c>
      <c r="V362">
        <v>0.11559999999999999</v>
      </c>
      <c r="W362">
        <v>7.4499999999999997E-2</v>
      </c>
      <c r="X362">
        <v>0.10100000000000001</v>
      </c>
      <c r="Y362">
        <v>0.63500000000000001</v>
      </c>
      <c r="Z362">
        <v>0.88500000000000001</v>
      </c>
      <c r="AF362">
        <f t="shared" si="27"/>
        <v>1.1849233252623085E-2</v>
      </c>
      <c r="AG362">
        <f t="shared" si="28"/>
        <v>2.3802400672153635E-3</v>
      </c>
    </row>
    <row r="363" spans="1:33" x14ac:dyDescent="0.25">
      <c r="A363" s="1" t="s">
        <v>1122</v>
      </c>
      <c r="J363" t="str">
        <f t="shared" si="26"/>
        <v xml:space="preserve">        26.1        0.39      0.5936      0.1117      0.0740       0.100       0.631       0.855              </v>
      </c>
      <c r="S363">
        <v>26.1</v>
      </c>
      <c r="T363">
        <v>0.39</v>
      </c>
      <c r="U363">
        <v>0.59360000000000002</v>
      </c>
      <c r="V363">
        <v>0.11169999999999999</v>
      </c>
      <c r="W363">
        <v>7.3999999999999996E-2</v>
      </c>
      <c r="X363">
        <v>0.1</v>
      </c>
      <c r="Y363">
        <v>0.63100000000000001</v>
      </c>
      <c r="Z363">
        <v>0.85499999999999998</v>
      </c>
      <c r="AF363">
        <f t="shared" si="27"/>
        <v>1.1776558061821219E-2</v>
      </c>
      <c r="AG363">
        <f t="shared" si="28"/>
        <v>2.3798427766407405E-3</v>
      </c>
    </row>
    <row r="364" spans="1:33" x14ac:dyDescent="0.25">
      <c r="A364" s="1" t="s">
        <v>1123</v>
      </c>
      <c r="J364" t="str">
        <f t="shared" si="26"/>
        <v xml:space="preserve">        28.2        0.43      0.6251      0.1073      0.0731       0.099       0.623       0.821              </v>
      </c>
      <c r="S364">
        <v>28.2</v>
      </c>
      <c r="T364">
        <v>0.43</v>
      </c>
      <c r="U364">
        <v>0.62509999999999999</v>
      </c>
      <c r="V364">
        <v>0.10730000000000001</v>
      </c>
      <c r="W364">
        <v>7.3099999999999998E-2</v>
      </c>
      <c r="X364">
        <v>9.9000000000000005E-2</v>
      </c>
      <c r="Y364">
        <v>0.623</v>
      </c>
      <c r="Z364">
        <v>0.82099999999999995</v>
      </c>
      <c r="AF364">
        <f t="shared" si="27"/>
        <v>1.1631790499390992E-2</v>
      </c>
      <c r="AG364">
        <f t="shared" si="28"/>
        <v>2.3789140980012614E-3</v>
      </c>
    </row>
    <row r="365" spans="1:33" x14ac:dyDescent="0.25">
      <c r="A365" s="1" t="s">
        <v>1124</v>
      </c>
      <c r="J365" t="str">
        <f t="shared" si="26"/>
        <v xml:space="preserve">        30.4        0.46      0.6538      0.1023      0.0718       0.097       0.612       0.783              </v>
      </c>
      <c r="S365">
        <v>30.4</v>
      </c>
      <c r="T365">
        <v>0.46</v>
      </c>
      <c r="U365">
        <v>0.65380000000000005</v>
      </c>
      <c r="V365">
        <v>0.1023</v>
      </c>
      <c r="W365">
        <v>7.1800000000000003E-2</v>
      </c>
      <c r="X365">
        <v>9.7000000000000003E-2</v>
      </c>
      <c r="Y365">
        <v>0.61199999999999999</v>
      </c>
      <c r="Z365">
        <v>0.78300000000000003</v>
      </c>
      <c r="AF365">
        <f t="shared" si="27"/>
        <v>1.1422660098522169E-2</v>
      </c>
      <c r="AG365">
        <f t="shared" si="28"/>
        <v>2.3796958500917893E-3</v>
      </c>
    </row>
    <row r="366" spans="1:33" x14ac:dyDescent="0.25">
      <c r="A366" s="1" t="s">
        <v>1125</v>
      </c>
      <c r="J366" t="str">
        <f t="shared" si="26"/>
        <v xml:space="preserve">        32.6        0.49      0.6796      0.0969      0.0701       0.095       0.597       0.741              </v>
      </c>
      <c r="S366">
        <v>32.6</v>
      </c>
      <c r="T366">
        <v>0.49</v>
      </c>
      <c r="U366">
        <v>0.67959999999999998</v>
      </c>
      <c r="V366">
        <v>9.69E-2</v>
      </c>
      <c r="W366">
        <v>7.0099999999999996E-2</v>
      </c>
      <c r="X366">
        <v>9.5000000000000001E-2</v>
      </c>
      <c r="Y366">
        <v>0.59699999999999998</v>
      </c>
      <c r="Z366">
        <v>0.74099999999999999</v>
      </c>
      <c r="AF366">
        <f t="shared" si="27"/>
        <v>1.1152747252747251E-2</v>
      </c>
      <c r="AG366">
        <f t="shared" si="28"/>
        <v>2.3775505304162504E-3</v>
      </c>
    </row>
    <row r="367" spans="1:33" x14ac:dyDescent="0.25">
      <c r="A367" s="1" t="s">
        <v>1126</v>
      </c>
      <c r="J367" t="str">
        <f t="shared" si="26"/>
        <v xml:space="preserve">        34.8        0.52      0.7025      0.0910      0.0679       0.092       0.579       0.696              </v>
      </c>
      <c r="S367">
        <v>34.799999999999997</v>
      </c>
      <c r="T367">
        <v>0.52</v>
      </c>
      <c r="U367">
        <v>0.70250000000000001</v>
      </c>
      <c r="V367">
        <v>9.0999999999999998E-2</v>
      </c>
      <c r="W367">
        <v>6.7900000000000002E-2</v>
      </c>
      <c r="X367">
        <v>9.1999999999999998E-2</v>
      </c>
      <c r="Y367">
        <v>0.57899999999999996</v>
      </c>
      <c r="Z367">
        <v>0.69599999999999995</v>
      </c>
      <c r="AF367">
        <f t="shared" si="27"/>
        <v>1.0814655172413794E-2</v>
      </c>
      <c r="AG367">
        <f t="shared" si="28"/>
        <v>2.3779524831686449E-3</v>
      </c>
    </row>
    <row r="368" spans="1:33" x14ac:dyDescent="0.25">
      <c r="A368" s="1" t="s">
        <v>1127</v>
      </c>
      <c r="J368" t="str">
        <f t="shared" si="26"/>
        <v xml:space="preserve">        36.9        0.56      0.7224      0.0849      0.0655       0.089       0.558       0.649              </v>
      </c>
      <c r="S368">
        <v>36.9</v>
      </c>
      <c r="T368">
        <v>0.56000000000000005</v>
      </c>
      <c r="U368">
        <v>0.72240000000000004</v>
      </c>
      <c r="V368">
        <v>8.4900000000000003E-2</v>
      </c>
      <c r="W368">
        <v>6.5500000000000003E-2</v>
      </c>
      <c r="X368">
        <v>8.8999999999999996E-2</v>
      </c>
      <c r="Y368">
        <v>0.55800000000000005</v>
      </c>
      <c r="Z368">
        <v>0.64900000000000002</v>
      </c>
      <c r="AF368">
        <f t="shared" si="27"/>
        <v>1.0427955095751708E-2</v>
      </c>
      <c r="AG368">
        <f t="shared" si="28"/>
        <v>2.3766888649164163E-3</v>
      </c>
    </row>
    <row r="369" spans="1:33" x14ac:dyDescent="0.25">
      <c r="A369" s="1" t="s">
        <v>1128</v>
      </c>
      <c r="J369" t="str">
        <f t="shared" si="26"/>
        <v xml:space="preserve">        39.1        0.59      0.7396      0.0787      0.0627       0.085       0.535       0.602              </v>
      </c>
      <c r="S369">
        <v>39.1</v>
      </c>
      <c r="T369">
        <v>0.59</v>
      </c>
      <c r="U369">
        <v>0.73960000000000004</v>
      </c>
      <c r="V369">
        <v>7.8700000000000006E-2</v>
      </c>
      <c r="W369">
        <v>6.2700000000000006E-2</v>
      </c>
      <c r="X369">
        <v>8.5000000000000006E-2</v>
      </c>
      <c r="Y369">
        <v>0.53500000000000003</v>
      </c>
      <c r="Z369">
        <v>0.60199999999999998</v>
      </c>
      <c r="AF369">
        <f t="shared" si="27"/>
        <v>9.9915757000474652E-3</v>
      </c>
      <c r="AG369">
        <f t="shared" si="28"/>
        <v>2.3782476911621444E-3</v>
      </c>
    </row>
    <row r="370" spans="1:33" x14ac:dyDescent="0.25">
      <c r="A370" s="1" t="s">
        <v>1129</v>
      </c>
      <c r="J370" t="str">
        <f t="shared" si="26"/>
        <v xml:space="preserve">        41.3        0.62      0.7541      0.0723      0.0597       0.081       0.508       0.553              </v>
      </c>
      <c r="S370">
        <v>41.3</v>
      </c>
      <c r="T370">
        <v>0.62</v>
      </c>
      <c r="U370">
        <v>0.75409999999999999</v>
      </c>
      <c r="V370">
        <v>7.2300000000000003E-2</v>
      </c>
      <c r="W370">
        <v>5.9700000000000003E-2</v>
      </c>
      <c r="X370">
        <v>8.1000000000000003E-2</v>
      </c>
      <c r="Y370">
        <v>0.50800000000000001</v>
      </c>
      <c r="Z370">
        <v>0.55300000000000005</v>
      </c>
      <c r="AF370">
        <f t="shared" si="27"/>
        <v>9.488090932575563E-3</v>
      </c>
      <c r="AG370">
        <f t="shared" si="28"/>
        <v>2.3780564460520446E-3</v>
      </c>
    </row>
    <row r="371" spans="1:33" x14ac:dyDescent="0.25">
      <c r="A371" s="1" t="s">
        <v>1130</v>
      </c>
      <c r="J371" t="str">
        <f t="shared" si="26"/>
        <v xml:space="preserve">        43.4        0.66      0.7662      0.0657      0.0562       0.076       0.479       0.503              </v>
      </c>
      <c r="S371">
        <v>43.4</v>
      </c>
      <c r="T371">
        <v>0.66</v>
      </c>
      <c r="U371">
        <v>0.76619999999999999</v>
      </c>
      <c r="V371">
        <v>6.5699999999999995E-2</v>
      </c>
      <c r="W371">
        <v>5.62E-2</v>
      </c>
      <c r="X371">
        <v>7.5999999999999998E-2</v>
      </c>
      <c r="Y371">
        <v>0.47899999999999998</v>
      </c>
      <c r="Z371">
        <v>0.503</v>
      </c>
      <c r="AF371">
        <f t="shared" si="27"/>
        <v>8.9378869639307017E-3</v>
      </c>
      <c r="AG371">
        <f t="shared" si="28"/>
        <v>2.3803342214716492E-3</v>
      </c>
    </row>
    <row r="372" spans="1:33" x14ac:dyDescent="0.25">
      <c r="A372" s="1" t="s">
        <v>1131</v>
      </c>
      <c r="J372" t="str">
        <f t="shared" si="26"/>
        <v xml:space="preserve">        45.6        0.69      0.7760      0.0591      0.0524       0.071       0.446       0.452              </v>
      </c>
      <c r="S372">
        <v>45.6</v>
      </c>
      <c r="T372">
        <v>0.69</v>
      </c>
      <c r="U372">
        <v>0.77600000000000002</v>
      </c>
      <c r="V372">
        <v>5.91E-2</v>
      </c>
      <c r="W372">
        <v>5.2400000000000002E-2</v>
      </c>
      <c r="X372">
        <v>7.0999999999999994E-2</v>
      </c>
      <c r="Y372">
        <v>0.44600000000000001</v>
      </c>
      <c r="Z372">
        <v>0.45200000000000001</v>
      </c>
      <c r="AF372">
        <f t="shared" si="27"/>
        <v>8.3307838179519627E-3</v>
      </c>
      <c r="AG372">
        <f t="shared" si="28"/>
        <v>2.377859986426977E-3</v>
      </c>
    </row>
    <row r="373" spans="1:33" x14ac:dyDescent="0.25">
      <c r="A373" s="1" t="s">
        <v>1132</v>
      </c>
      <c r="J373" t="str">
        <f t="shared" si="26"/>
        <v xml:space="preserve">        47.8        0.72      0.7833      0.0522      0.0480       0.065       0.409       0.399              </v>
      </c>
      <c r="S373">
        <v>47.8</v>
      </c>
      <c r="T373">
        <v>0.72</v>
      </c>
      <c r="U373">
        <v>0.7833</v>
      </c>
      <c r="V373">
        <v>5.2200000000000003E-2</v>
      </c>
      <c r="W373">
        <v>4.8000000000000001E-2</v>
      </c>
      <c r="X373">
        <v>6.5000000000000002E-2</v>
      </c>
      <c r="Y373">
        <v>0.40899999999999997</v>
      </c>
      <c r="Z373">
        <v>0.39900000000000002</v>
      </c>
      <c r="AF373">
        <f t="shared" si="27"/>
        <v>7.6440386680988182E-3</v>
      </c>
      <c r="AG373">
        <f t="shared" si="28"/>
        <v>2.3764994470694702E-3</v>
      </c>
    </row>
    <row r="374" spans="1:33" x14ac:dyDescent="0.25">
      <c r="A374" s="1" t="s">
        <v>1133</v>
      </c>
      <c r="J374" t="str">
        <f t="shared" si="26"/>
        <v xml:space="preserve">        50.0        0.75      0.7875      0.0452      0.0433       0.058       0.369       0.346              </v>
      </c>
      <c r="S374">
        <v>50</v>
      </c>
      <c r="T374">
        <v>0.75</v>
      </c>
      <c r="U374">
        <v>0.78749999999999998</v>
      </c>
      <c r="V374">
        <v>4.5199999999999997E-2</v>
      </c>
      <c r="W374">
        <v>4.3299999999999998E-2</v>
      </c>
      <c r="X374">
        <v>5.8000000000000003E-2</v>
      </c>
      <c r="Y374">
        <v>0.36899999999999999</v>
      </c>
      <c r="Z374">
        <v>0.34599999999999997</v>
      </c>
      <c r="AF374">
        <f t="shared" si="27"/>
        <v>6.8863748967795211E-3</v>
      </c>
      <c r="AG374">
        <f t="shared" si="28"/>
        <v>2.3799782538986357E-3</v>
      </c>
    </row>
    <row r="375" spans="1:33" x14ac:dyDescent="0.25">
      <c r="A375" s="1" t="s">
        <v>1134</v>
      </c>
      <c r="J375" t="str">
        <f t="shared" si="26"/>
        <v xml:space="preserve">        52.1        0.79      0.7875      0.0380      0.0380       0.051       0.324       0.291              </v>
      </c>
      <c r="S375">
        <v>52.1</v>
      </c>
      <c r="T375">
        <v>0.79</v>
      </c>
      <c r="U375">
        <v>0.78749999999999998</v>
      </c>
      <c r="V375">
        <v>3.7999999999999999E-2</v>
      </c>
      <c r="W375">
        <v>3.7999999999999999E-2</v>
      </c>
      <c r="X375">
        <v>5.0999999999999997E-2</v>
      </c>
      <c r="Y375">
        <v>0.32400000000000001</v>
      </c>
      <c r="Z375">
        <v>0.29099999999999998</v>
      </c>
      <c r="AF375">
        <f t="shared" si="27"/>
        <v>6.0441826215022112E-3</v>
      </c>
      <c r="AG375">
        <f t="shared" si="28"/>
        <v>2.3809195291435601E-3</v>
      </c>
    </row>
    <row r="376" spans="1:33" x14ac:dyDescent="0.25">
      <c r="A376" s="1" t="s">
        <v>1135</v>
      </c>
      <c r="J376" t="str">
        <f t="shared" si="26"/>
        <v xml:space="preserve">        54.3        0.82      0.7808      0.0307      0.0322       0.044       0.274       0.235              </v>
      </c>
      <c r="S376">
        <v>54.3</v>
      </c>
      <c r="T376">
        <v>0.82</v>
      </c>
      <c r="U376">
        <v>0.78080000000000005</v>
      </c>
      <c r="V376">
        <v>3.0700000000000002E-2</v>
      </c>
      <c r="W376">
        <v>3.2199999999999999E-2</v>
      </c>
      <c r="X376">
        <v>4.3999999999999997E-2</v>
      </c>
      <c r="Y376">
        <v>0.27400000000000002</v>
      </c>
      <c r="Z376">
        <v>0.23499999999999999</v>
      </c>
      <c r="AF376">
        <f t="shared" si="27"/>
        <v>5.1135562310030414E-3</v>
      </c>
      <c r="AG376">
        <f t="shared" si="28"/>
        <v>2.3799334424988517E-3</v>
      </c>
    </row>
    <row r="377" spans="1:33" x14ac:dyDescent="0.25">
      <c r="A377" s="1" t="s">
        <v>1136</v>
      </c>
      <c r="J377" t="str">
        <f t="shared" si="26"/>
        <v xml:space="preserve">        56.5        0.85      0.7596      0.0232      0.0260       0.035       0.221       0.177              </v>
      </c>
      <c r="S377">
        <v>56.5</v>
      </c>
      <c r="T377">
        <v>0.85</v>
      </c>
      <c r="U377">
        <v>0.75960000000000005</v>
      </c>
      <c r="V377">
        <v>2.3199999999999998E-2</v>
      </c>
      <c r="W377">
        <v>2.5999999999999999E-2</v>
      </c>
      <c r="X377">
        <v>3.5000000000000003E-2</v>
      </c>
      <c r="Y377">
        <v>0.221</v>
      </c>
      <c r="Z377">
        <v>0.17699999999999999</v>
      </c>
      <c r="AF377">
        <f t="shared" si="27"/>
        <v>4.1381759483454404E-3</v>
      </c>
      <c r="AG377">
        <f t="shared" si="28"/>
        <v>2.3720323428456551E-3</v>
      </c>
    </row>
    <row r="378" spans="1:33" x14ac:dyDescent="0.25">
      <c r="A378" s="1" t="s">
        <v>1137</v>
      </c>
      <c r="J378" t="str">
        <f t="shared" si="26"/>
        <v xml:space="preserve">        58.6        0.88      0.7088      0.0155      0.0194       0.026       0.165       0.119              </v>
      </c>
      <c r="S378">
        <v>58.6</v>
      </c>
      <c r="T378">
        <v>0.88</v>
      </c>
      <c r="U378">
        <v>0.70879999999999999</v>
      </c>
      <c r="V378">
        <v>1.55E-2</v>
      </c>
      <c r="W378">
        <v>1.9400000000000001E-2</v>
      </c>
      <c r="X378">
        <v>2.5999999999999999E-2</v>
      </c>
      <c r="Y378">
        <v>0.16500000000000001</v>
      </c>
      <c r="Z378">
        <v>0.11899999999999999</v>
      </c>
      <c r="AF378">
        <f t="shared" si="27"/>
        <v>3.0702280912364953E-3</v>
      </c>
      <c r="AG378">
        <f t="shared" si="28"/>
        <v>2.3869899369886221E-3</v>
      </c>
    </row>
    <row r="379" spans="1:33" x14ac:dyDescent="0.25">
      <c r="A379" s="1" t="s">
        <v>1138</v>
      </c>
      <c r="J379" t="str">
        <f t="shared" si="26"/>
        <v xml:space="preserve">        60.8        0.92      0.5755      0.0078      0.0124       0.017       0.106       0.060              </v>
      </c>
      <c r="S379">
        <v>60.8</v>
      </c>
      <c r="T379">
        <v>0.92</v>
      </c>
      <c r="U379">
        <v>0.57550000000000001</v>
      </c>
      <c r="V379">
        <v>7.7999999999999996E-3</v>
      </c>
      <c r="W379">
        <v>1.24E-2</v>
      </c>
      <c r="X379">
        <v>1.7000000000000001E-2</v>
      </c>
      <c r="Y379">
        <v>0.106</v>
      </c>
      <c r="Z379">
        <v>0.06</v>
      </c>
      <c r="AF379">
        <f t="shared" si="27"/>
        <v>1.9685714285714285E-3</v>
      </c>
      <c r="AG379">
        <f t="shared" si="28"/>
        <v>2.3916188767500739E-3</v>
      </c>
    </row>
    <row r="380" spans="1:33" x14ac:dyDescent="0.25">
      <c r="A380" s="1" t="s">
        <v>1139</v>
      </c>
      <c r="J380" t="str">
        <f t="shared" si="26"/>
        <v xml:space="preserve">        63.0        0.95     -0.0020      0.0000      0.0058       0.008       0.050       0.000              </v>
      </c>
      <c r="S380">
        <v>63</v>
      </c>
      <c r="T380">
        <v>0.95</v>
      </c>
      <c r="U380">
        <v>-2E-3</v>
      </c>
      <c r="V380">
        <v>0</v>
      </c>
      <c r="W380">
        <v>5.7999999999999996E-3</v>
      </c>
      <c r="X380">
        <v>8.0000000000000002E-3</v>
      </c>
      <c r="Y380">
        <v>0.05</v>
      </c>
      <c r="Z380">
        <v>0</v>
      </c>
    </row>
    <row r="381" spans="1:33" x14ac:dyDescent="0.25">
      <c r="A381" s="1" t="s">
        <v>1</v>
      </c>
    </row>
    <row r="382" spans="1:33" x14ac:dyDescent="0.25">
      <c r="A382" s="1" t="s">
        <v>1</v>
      </c>
    </row>
    <row r="383" spans="1:33" x14ac:dyDescent="0.25">
      <c r="A383" s="1" t="s">
        <v>1</v>
      </c>
    </row>
    <row r="384" spans="1:33" x14ac:dyDescent="0.25">
      <c r="A384" s="1" t="s">
        <v>320</v>
      </c>
      <c r="J384" s="43" t="s">
        <v>1792</v>
      </c>
      <c r="S384">
        <v>11000</v>
      </c>
      <c r="AC384" t="str">
        <f>CONCATENATE($V$16,$AC$13,S384)</f>
        <v>Ct@11000</v>
      </c>
    </row>
    <row r="385" spans="1:26" x14ac:dyDescent="0.25">
      <c r="A385" s="1" t="s">
        <v>1</v>
      </c>
    </row>
    <row r="386" spans="1:26" x14ac:dyDescent="0.25">
      <c r="A386" s="1" t="s">
        <v>9</v>
      </c>
      <c r="J386" t="str">
        <f>A386</f>
        <v xml:space="preserve">         V          J           Pe         Ct          Cp          PWR         Torque      Thrust             </v>
      </c>
      <c r="S386" t="s">
        <v>662</v>
      </c>
      <c r="T386" t="s">
        <v>663</v>
      </c>
      <c r="U386" t="s">
        <v>664</v>
      </c>
      <c r="V386" t="s">
        <v>665</v>
      </c>
      <c r="W386" t="s">
        <v>666</v>
      </c>
      <c r="X386" t="s">
        <v>667</v>
      </c>
      <c r="Y386" t="s">
        <v>668</v>
      </c>
      <c r="Z386" t="s">
        <v>669</v>
      </c>
    </row>
    <row r="387" spans="1:26" x14ac:dyDescent="0.25">
      <c r="A387" s="1" t="s">
        <v>10</v>
      </c>
      <c r="J387" t="str">
        <f t="shared" ref="J387:J417" si="29">A387</f>
        <v xml:space="preserve">       (mph)     (Adv Ratio)                                       (Hp)        (In-Lbf)     (Lbf)             </v>
      </c>
      <c r="S387" t="s">
        <v>670</v>
      </c>
      <c r="T387" t="s">
        <v>1780</v>
      </c>
      <c r="U387" t="s">
        <v>1781</v>
      </c>
      <c r="V387" t="s">
        <v>672</v>
      </c>
      <c r="W387" t="s">
        <v>673</v>
      </c>
      <c r="X387" t="s">
        <v>674</v>
      </c>
    </row>
    <row r="388" spans="1:26" x14ac:dyDescent="0.25">
      <c r="A388" s="1" t="s">
        <v>1140</v>
      </c>
      <c r="J388" t="str">
        <f t="shared" si="29"/>
        <v xml:space="preserve">         0.0        0.00      0.0000      0.1322      0.0643       0.116       0.663       1.223              </v>
      </c>
      <c r="S388">
        <v>0</v>
      </c>
      <c r="T388">
        <v>0</v>
      </c>
      <c r="U388">
        <v>0</v>
      </c>
      <c r="V388">
        <v>0.13220000000000001</v>
      </c>
      <c r="W388">
        <v>6.4299999999999996E-2</v>
      </c>
      <c r="X388">
        <v>0.11600000000000001</v>
      </c>
      <c r="Y388">
        <v>0.66300000000000003</v>
      </c>
      <c r="Z388">
        <v>1.2230000000000001</v>
      </c>
    </row>
    <row r="389" spans="1:26" x14ac:dyDescent="0.25">
      <c r="A389" s="1" t="s">
        <v>1141</v>
      </c>
      <c r="J389" t="str">
        <f t="shared" si="29"/>
        <v xml:space="preserve">         2.4        0.03      0.0658      0.1318      0.0656       0.118       0.676       1.220              </v>
      </c>
      <c r="S389">
        <v>2.4</v>
      </c>
      <c r="T389">
        <v>0.03</v>
      </c>
      <c r="U389">
        <v>6.5799999999999997E-2</v>
      </c>
      <c r="V389">
        <v>0.1318</v>
      </c>
      <c r="W389">
        <v>6.5600000000000006E-2</v>
      </c>
      <c r="X389">
        <v>0.11799999999999999</v>
      </c>
      <c r="Y389">
        <v>0.67600000000000005</v>
      </c>
      <c r="Z389">
        <v>1.22</v>
      </c>
    </row>
    <row r="390" spans="1:26" x14ac:dyDescent="0.25">
      <c r="A390" s="1" t="s">
        <v>1142</v>
      </c>
      <c r="J390" t="str">
        <f t="shared" si="29"/>
        <v xml:space="preserve">         4.8        0.07      0.1287      0.1313      0.0669       0.120       0.690       1.215              </v>
      </c>
      <c r="S390">
        <v>4.8</v>
      </c>
      <c r="T390">
        <v>7.0000000000000007E-2</v>
      </c>
      <c r="U390">
        <v>0.12870000000000001</v>
      </c>
      <c r="V390">
        <v>0.1313</v>
      </c>
      <c r="W390">
        <v>6.6900000000000001E-2</v>
      </c>
      <c r="X390">
        <v>0.12</v>
      </c>
      <c r="Y390">
        <v>0.69</v>
      </c>
      <c r="Z390">
        <v>1.2150000000000001</v>
      </c>
    </row>
    <row r="391" spans="1:26" x14ac:dyDescent="0.25">
      <c r="A391" s="1" t="s">
        <v>1143</v>
      </c>
      <c r="J391" t="str">
        <f t="shared" si="29"/>
        <v xml:space="preserve">         7.2        0.10      0.1884      0.1308      0.0682       0.123       0.703       1.210              </v>
      </c>
      <c r="S391">
        <v>7.2</v>
      </c>
      <c r="T391">
        <v>0.1</v>
      </c>
      <c r="U391">
        <v>0.18840000000000001</v>
      </c>
      <c r="V391">
        <v>0.1308</v>
      </c>
      <c r="W391">
        <v>6.8199999999999997E-2</v>
      </c>
      <c r="X391">
        <v>0.123</v>
      </c>
      <c r="Y391">
        <v>0.70299999999999996</v>
      </c>
      <c r="Z391">
        <v>1.21</v>
      </c>
    </row>
    <row r="392" spans="1:26" x14ac:dyDescent="0.25">
      <c r="A392" s="1" t="s">
        <v>1144</v>
      </c>
      <c r="J392" t="str">
        <f t="shared" si="29"/>
        <v xml:space="preserve">         9.6        0.13      0.2452      0.1301      0.0695       0.125       0.717       1.204              </v>
      </c>
      <c r="S392">
        <v>9.6</v>
      </c>
      <c r="T392">
        <v>0.13</v>
      </c>
      <c r="U392">
        <v>0.2452</v>
      </c>
      <c r="V392">
        <v>0.13009999999999999</v>
      </c>
      <c r="W392">
        <v>6.9500000000000006E-2</v>
      </c>
      <c r="X392">
        <v>0.125</v>
      </c>
      <c r="Y392">
        <v>0.71699999999999997</v>
      </c>
      <c r="Z392">
        <v>1.204</v>
      </c>
    </row>
    <row r="393" spans="1:26" x14ac:dyDescent="0.25">
      <c r="A393" s="1" t="s">
        <v>1145</v>
      </c>
      <c r="J393" t="str">
        <f t="shared" si="29"/>
        <v xml:space="preserve">        11.9        0.16      0.2990      0.1292      0.0708       0.127       0.730       1.196              </v>
      </c>
      <c r="S393">
        <v>11.9</v>
      </c>
      <c r="T393">
        <v>0.16</v>
      </c>
      <c r="U393">
        <v>0.29899999999999999</v>
      </c>
      <c r="V393">
        <v>0.12920000000000001</v>
      </c>
      <c r="W393">
        <v>7.0800000000000002E-2</v>
      </c>
      <c r="X393">
        <v>0.127</v>
      </c>
      <c r="Y393">
        <v>0.73</v>
      </c>
      <c r="Z393">
        <v>1.196</v>
      </c>
    </row>
    <row r="394" spans="1:26" x14ac:dyDescent="0.25">
      <c r="A394" s="1" t="s">
        <v>1146</v>
      </c>
      <c r="J394" t="str">
        <f t="shared" si="29"/>
        <v xml:space="preserve">        14.3        0.20      0.3498      0.1280      0.0719       0.129       0.742       1.185              </v>
      </c>
      <c r="S394">
        <v>14.3</v>
      </c>
      <c r="T394">
        <v>0.2</v>
      </c>
      <c r="U394">
        <v>0.3498</v>
      </c>
      <c r="V394">
        <v>0.128</v>
      </c>
      <c r="W394">
        <v>7.1900000000000006E-2</v>
      </c>
      <c r="X394">
        <v>0.129</v>
      </c>
      <c r="Y394">
        <v>0.74199999999999999</v>
      </c>
      <c r="Z394">
        <v>1.1850000000000001</v>
      </c>
    </row>
    <row r="395" spans="1:26" x14ac:dyDescent="0.25">
      <c r="A395" s="1" t="s">
        <v>1147</v>
      </c>
      <c r="J395" t="str">
        <f t="shared" si="29"/>
        <v xml:space="preserve">        16.7        0.23      0.3978      0.1265      0.0729       0.131       0.752       1.171              </v>
      </c>
      <c r="S395">
        <v>16.7</v>
      </c>
      <c r="T395">
        <v>0.23</v>
      </c>
      <c r="U395">
        <v>0.39779999999999999</v>
      </c>
      <c r="V395">
        <v>0.1265</v>
      </c>
      <c r="W395">
        <v>7.2900000000000006E-2</v>
      </c>
      <c r="X395">
        <v>0.13100000000000001</v>
      </c>
      <c r="Y395">
        <v>0.752</v>
      </c>
      <c r="Z395">
        <v>1.171</v>
      </c>
    </row>
    <row r="396" spans="1:26" x14ac:dyDescent="0.25">
      <c r="A396" s="1" t="s">
        <v>1148</v>
      </c>
      <c r="J396" t="str">
        <f t="shared" si="29"/>
        <v xml:space="preserve">        19.1        0.26      0.4431      0.1246      0.0737       0.133       0.760       1.153              </v>
      </c>
      <c r="S396">
        <v>19.100000000000001</v>
      </c>
      <c r="T396">
        <v>0.26</v>
      </c>
      <c r="U396">
        <v>0.44309999999999999</v>
      </c>
      <c r="V396">
        <v>0.1246</v>
      </c>
      <c r="W396">
        <v>7.3700000000000002E-2</v>
      </c>
      <c r="X396">
        <v>0.13300000000000001</v>
      </c>
      <c r="Y396">
        <v>0.76</v>
      </c>
      <c r="Z396">
        <v>1.153</v>
      </c>
    </row>
    <row r="397" spans="1:26" x14ac:dyDescent="0.25">
      <c r="A397" s="1" t="s">
        <v>1149</v>
      </c>
      <c r="J397" t="str">
        <f t="shared" si="29"/>
        <v xml:space="preserve">        21.5        0.29      0.4855      0.1222      0.0742       0.134       0.765       1.131              </v>
      </c>
      <c r="S397">
        <v>21.5</v>
      </c>
      <c r="T397">
        <v>0.28999999999999998</v>
      </c>
      <c r="U397">
        <v>0.48549999999999999</v>
      </c>
      <c r="V397">
        <v>0.1222</v>
      </c>
      <c r="W397">
        <v>7.4200000000000002E-2</v>
      </c>
      <c r="X397">
        <v>0.13400000000000001</v>
      </c>
      <c r="Y397">
        <v>0.76500000000000001</v>
      </c>
      <c r="Z397">
        <v>1.131</v>
      </c>
    </row>
    <row r="398" spans="1:26" x14ac:dyDescent="0.25">
      <c r="A398" s="1" t="s">
        <v>1150</v>
      </c>
      <c r="J398" t="str">
        <f t="shared" si="29"/>
        <v xml:space="preserve">        23.9        0.33      0.5252      0.1193      0.0744       0.134       0.767       1.104              </v>
      </c>
      <c r="S398">
        <v>23.9</v>
      </c>
      <c r="T398">
        <v>0.33</v>
      </c>
      <c r="U398">
        <v>0.5252</v>
      </c>
      <c r="V398">
        <v>0.1193</v>
      </c>
      <c r="W398">
        <v>7.4399999999999994E-2</v>
      </c>
      <c r="X398">
        <v>0.13400000000000001</v>
      </c>
      <c r="Y398">
        <v>0.76700000000000002</v>
      </c>
      <c r="Z398">
        <v>1.1040000000000001</v>
      </c>
    </row>
    <row r="399" spans="1:26" x14ac:dyDescent="0.25">
      <c r="A399" s="1" t="s">
        <v>1151</v>
      </c>
      <c r="J399" t="str">
        <f t="shared" si="29"/>
        <v xml:space="preserve">        26.3        0.36      0.5622      0.1159      0.0743       0.134       0.766       1.073              </v>
      </c>
      <c r="S399">
        <v>26.3</v>
      </c>
      <c r="T399">
        <v>0.36</v>
      </c>
      <c r="U399">
        <v>0.56220000000000003</v>
      </c>
      <c r="V399">
        <v>0.1159</v>
      </c>
      <c r="W399">
        <v>7.4300000000000005E-2</v>
      </c>
      <c r="X399">
        <v>0.13400000000000001</v>
      </c>
      <c r="Y399">
        <v>0.76600000000000001</v>
      </c>
      <c r="Z399">
        <v>1.073</v>
      </c>
    </row>
    <row r="400" spans="1:26" x14ac:dyDescent="0.25">
      <c r="A400" s="1" t="s">
        <v>1152</v>
      </c>
      <c r="J400" t="str">
        <f t="shared" si="29"/>
        <v xml:space="preserve">        28.7        0.39      0.5965      0.1120      0.0738       0.133       0.761       1.037              </v>
      </c>
      <c r="S400">
        <v>28.7</v>
      </c>
      <c r="T400">
        <v>0.39</v>
      </c>
      <c r="U400">
        <v>0.59650000000000003</v>
      </c>
      <c r="V400">
        <v>0.112</v>
      </c>
      <c r="W400">
        <v>7.3800000000000004E-2</v>
      </c>
      <c r="X400">
        <v>0.13300000000000001</v>
      </c>
      <c r="Y400">
        <v>0.76100000000000001</v>
      </c>
      <c r="Z400">
        <v>1.0369999999999999</v>
      </c>
    </row>
    <row r="401" spans="1:26" x14ac:dyDescent="0.25">
      <c r="A401" s="1" t="s">
        <v>1153</v>
      </c>
      <c r="J401" t="str">
        <f t="shared" si="29"/>
        <v xml:space="preserve">        31.1        0.43      0.6282      0.1076      0.0729       0.131       0.752       0.996              </v>
      </c>
      <c r="S401">
        <v>31.1</v>
      </c>
      <c r="T401">
        <v>0.43</v>
      </c>
      <c r="U401">
        <v>0.62819999999999998</v>
      </c>
      <c r="V401">
        <v>0.1076</v>
      </c>
      <c r="W401">
        <v>7.2900000000000006E-2</v>
      </c>
      <c r="X401">
        <v>0.13100000000000001</v>
      </c>
      <c r="Y401">
        <v>0.752</v>
      </c>
      <c r="Z401">
        <v>0.996</v>
      </c>
    </row>
    <row r="402" spans="1:26" x14ac:dyDescent="0.25">
      <c r="A402" s="1" t="s">
        <v>1154</v>
      </c>
      <c r="J402" t="str">
        <f t="shared" si="29"/>
        <v xml:space="preserve">        33.4        0.46      0.6572      0.1026      0.0716       0.129       0.738       0.949              </v>
      </c>
      <c r="S402">
        <v>33.4</v>
      </c>
      <c r="T402">
        <v>0.46</v>
      </c>
      <c r="U402">
        <v>0.65720000000000001</v>
      </c>
      <c r="V402">
        <v>0.1026</v>
      </c>
      <c r="W402">
        <v>7.1599999999999997E-2</v>
      </c>
      <c r="X402">
        <v>0.129</v>
      </c>
      <c r="Y402">
        <v>0.73799999999999999</v>
      </c>
      <c r="Z402">
        <v>0.94899999999999995</v>
      </c>
    </row>
    <row r="403" spans="1:26" x14ac:dyDescent="0.25">
      <c r="A403" s="1" t="s">
        <v>1155</v>
      </c>
      <c r="J403" t="str">
        <f t="shared" si="29"/>
        <v xml:space="preserve">        35.8        0.49      0.6834      0.0971      0.0698       0.126       0.720       0.899              </v>
      </c>
      <c r="S403">
        <v>35.799999999999997</v>
      </c>
      <c r="T403">
        <v>0.49</v>
      </c>
      <c r="U403">
        <v>0.68340000000000001</v>
      </c>
      <c r="V403">
        <v>9.7100000000000006E-2</v>
      </c>
      <c r="W403">
        <v>6.9800000000000001E-2</v>
      </c>
      <c r="X403">
        <v>0.126</v>
      </c>
      <c r="Y403">
        <v>0.72</v>
      </c>
      <c r="Z403">
        <v>0.89900000000000002</v>
      </c>
    </row>
    <row r="404" spans="1:26" x14ac:dyDescent="0.25">
      <c r="A404" s="1" t="s">
        <v>1156</v>
      </c>
      <c r="J404" t="str">
        <f t="shared" si="29"/>
        <v xml:space="preserve">        38.2        0.52      0.7069      0.0912      0.0676       0.122       0.697       0.844              </v>
      </c>
      <c r="S404">
        <v>38.200000000000003</v>
      </c>
      <c r="T404">
        <v>0.52</v>
      </c>
      <c r="U404">
        <v>0.70689999999999997</v>
      </c>
      <c r="V404">
        <v>9.1200000000000003E-2</v>
      </c>
      <c r="W404">
        <v>6.7599999999999993E-2</v>
      </c>
      <c r="X404">
        <v>0.122</v>
      </c>
      <c r="Y404">
        <v>0.69699999999999995</v>
      </c>
      <c r="Z404">
        <v>0.84399999999999997</v>
      </c>
    </row>
    <row r="405" spans="1:26" x14ac:dyDescent="0.25">
      <c r="A405" s="1" t="s">
        <v>1157</v>
      </c>
      <c r="J405" t="str">
        <f t="shared" si="29"/>
        <v xml:space="preserve">        40.6        0.56      0.7275      0.0851      0.0652       0.117       0.672       0.788              </v>
      </c>
      <c r="S405">
        <v>40.6</v>
      </c>
      <c r="T405">
        <v>0.56000000000000005</v>
      </c>
      <c r="U405">
        <v>0.72750000000000004</v>
      </c>
      <c r="V405">
        <v>8.5099999999999995E-2</v>
      </c>
      <c r="W405">
        <v>6.5199999999999994E-2</v>
      </c>
      <c r="X405">
        <v>0.11700000000000001</v>
      </c>
      <c r="Y405">
        <v>0.67200000000000004</v>
      </c>
      <c r="Z405">
        <v>0.78800000000000003</v>
      </c>
    </row>
    <row r="406" spans="1:26" x14ac:dyDescent="0.25">
      <c r="A406" s="1" t="s">
        <v>1158</v>
      </c>
      <c r="J406" t="str">
        <f t="shared" si="29"/>
        <v xml:space="preserve">        43.0        0.59      0.7454      0.0788      0.0624       0.112       0.643       0.730              </v>
      </c>
      <c r="S406">
        <v>43</v>
      </c>
      <c r="T406">
        <v>0.59</v>
      </c>
      <c r="U406">
        <v>0.74539999999999995</v>
      </c>
      <c r="V406">
        <v>7.8799999999999995E-2</v>
      </c>
      <c r="W406">
        <v>6.2399999999999997E-2</v>
      </c>
      <c r="X406">
        <v>0.112</v>
      </c>
      <c r="Y406">
        <v>0.64300000000000002</v>
      </c>
      <c r="Z406">
        <v>0.73</v>
      </c>
    </row>
    <row r="407" spans="1:26" x14ac:dyDescent="0.25">
      <c r="A407" s="1" t="s">
        <v>1159</v>
      </c>
      <c r="J407" t="str">
        <f t="shared" si="29"/>
        <v xml:space="preserve">        45.4        0.62      0.7607      0.0724      0.0593       0.107       0.611       0.670              </v>
      </c>
      <c r="S407">
        <v>45.4</v>
      </c>
      <c r="T407">
        <v>0.62</v>
      </c>
      <c r="U407">
        <v>0.76070000000000004</v>
      </c>
      <c r="V407">
        <v>7.2400000000000006E-2</v>
      </c>
      <c r="W407">
        <v>5.9299999999999999E-2</v>
      </c>
      <c r="X407">
        <v>0.107</v>
      </c>
      <c r="Y407">
        <v>0.61099999999999999</v>
      </c>
      <c r="Z407">
        <v>0.67</v>
      </c>
    </row>
    <row r="408" spans="1:26" x14ac:dyDescent="0.25">
      <c r="A408" s="1" t="s">
        <v>1160</v>
      </c>
      <c r="J408" t="str">
        <f t="shared" si="29"/>
        <v xml:space="preserve">        47.8        0.66      0.7736      0.0659      0.0558       0.100       0.575       0.610              </v>
      </c>
      <c r="S408">
        <v>47.8</v>
      </c>
      <c r="T408">
        <v>0.66</v>
      </c>
      <c r="U408">
        <v>0.77359999999999995</v>
      </c>
      <c r="V408">
        <v>6.59E-2</v>
      </c>
      <c r="W408">
        <v>5.5800000000000002E-2</v>
      </c>
      <c r="X408">
        <v>0.1</v>
      </c>
      <c r="Y408">
        <v>0.57499999999999996</v>
      </c>
      <c r="Z408">
        <v>0.61</v>
      </c>
    </row>
    <row r="409" spans="1:26" x14ac:dyDescent="0.25">
      <c r="A409" s="1" t="s">
        <v>1161</v>
      </c>
      <c r="J409" t="str">
        <f t="shared" si="29"/>
        <v xml:space="preserve">        50.2        0.69      0.7840      0.0592      0.0519       0.093       0.535       0.548              </v>
      </c>
      <c r="S409">
        <v>50.2</v>
      </c>
      <c r="T409">
        <v>0.69</v>
      </c>
      <c r="U409">
        <v>0.78400000000000003</v>
      </c>
      <c r="V409">
        <v>5.9200000000000003E-2</v>
      </c>
      <c r="W409">
        <v>5.1900000000000002E-2</v>
      </c>
      <c r="X409">
        <v>9.2999999999999999E-2</v>
      </c>
      <c r="Y409">
        <v>0.53500000000000003</v>
      </c>
      <c r="Z409">
        <v>0.54800000000000004</v>
      </c>
    </row>
    <row r="410" spans="1:26" x14ac:dyDescent="0.25">
      <c r="A410" s="1" t="s">
        <v>1162</v>
      </c>
      <c r="J410" t="str">
        <f t="shared" si="29"/>
        <v xml:space="preserve">        52.6        0.72      0.7917      0.0523      0.0476       0.086       0.491       0.484              </v>
      </c>
      <c r="S410">
        <v>52.6</v>
      </c>
      <c r="T410">
        <v>0.72</v>
      </c>
      <c r="U410">
        <v>0.79169999999999996</v>
      </c>
      <c r="V410">
        <v>5.2299999999999999E-2</v>
      </c>
      <c r="W410">
        <v>4.7600000000000003E-2</v>
      </c>
      <c r="X410">
        <v>8.5999999999999993E-2</v>
      </c>
      <c r="Y410">
        <v>0.49099999999999999</v>
      </c>
      <c r="Z410">
        <v>0.48399999999999999</v>
      </c>
    </row>
    <row r="411" spans="1:26" x14ac:dyDescent="0.25">
      <c r="A411" s="1" t="s">
        <v>1163</v>
      </c>
      <c r="J411" t="str">
        <f t="shared" si="29"/>
        <v xml:space="preserve">        54.9        0.75      0.7959      0.0452      0.0428       0.077       0.442       0.419              </v>
      </c>
      <c r="S411">
        <v>54.9</v>
      </c>
      <c r="T411">
        <v>0.75</v>
      </c>
      <c r="U411">
        <v>0.79590000000000005</v>
      </c>
      <c r="V411">
        <v>4.5199999999999997E-2</v>
      </c>
      <c r="W411">
        <v>4.2799999999999998E-2</v>
      </c>
      <c r="X411">
        <v>7.6999999999999999E-2</v>
      </c>
      <c r="Y411">
        <v>0.442</v>
      </c>
      <c r="Z411">
        <v>0.41899999999999998</v>
      </c>
    </row>
    <row r="412" spans="1:26" x14ac:dyDescent="0.25">
      <c r="A412" s="1" t="s">
        <v>1164</v>
      </c>
      <c r="J412" t="str">
        <f t="shared" si="29"/>
        <v xml:space="preserve">        57.3        0.79      0.7960      0.0381      0.0376       0.068       0.388       0.352              </v>
      </c>
      <c r="S412">
        <v>57.3</v>
      </c>
      <c r="T412">
        <v>0.79</v>
      </c>
      <c r="U412">
        <v>0.79600000000000004</v>
      </c>
      <c r="V412">
        <v>3.8100000000000002E-2</v>
      </c>
      <c r="W412">
        <v>3.7600000000000001E-2</v>
      </c>
      <c r="X412">
        <v>6.8000000000000005E-2</v>
      </c>
      <c r="Y412">
        <v>0.38800000000000001</v>
      </c>
      <c r="Z412">
        <v>0.35199999999999998</v>
      </c>
    </row>
    <row r="413" spans="1:26" x14ac:dyDescent="0.25">
      <c r="A413" s="1" t="s">
        <v>1165</v>
      </c>
      <c r="J413" t="str">
        <f t="shared" si="29"/>
        <v xml:space="preserve">        59.7        0.82      0.7891      0.0307      0.0319       0.057       0.328       0.284              </v>
      </c>
      <c r="S413">
        <v>59.7</v>
      </c>
      <c r="T413">
        <v>0.82</v>
      </c>
      <c r="U413">
        <v>0.78910000000000002</v>
      </c>
      <c r="V413">
        <v>3.0700000000000002E-2</v>
      </c>
      <c r="W413">
        <v>3.1899999999999998E-2</v>
      </c>
      <c r="X413">
        <v>5.7000000000000002E-2</v>
      </c>
      <c r="Y413">
        <v>0.32800000000000001</v>
      </c>
      <c r="Z413">
        <v>0.28399999999999997</v>
      </c>
    </row>
    <row r="414" spans="1:26" x14ac:dyDescent="0.25">
      <c r="A414" s="1" t="s">
        <v>1166</v>
      </c>
      <c r="J414" t="str">
        <f t="shared" si="29"/>
        <v xml:space="preserve">        62.1        0.85      0.7674      0.0232      0.0257       0.046       0.265       0.214              </v>
      </c>
      <c r="S414">
        <v>62.1</v>
      </c>
      <c r="T414">
        <v>0.85</v>
      </c>
      <c r="U414">
        <v>0.76739999999999997</v>
      </c>
      <c r="V414">
        <v>2.3199999999999998E-2</v>
      </c>
      <c r="W414">
        <v>2.5700000000000001E-2</v>
      </c>
      <c r="X414">
        <v>4.5999999999999999E-2</v>
      </c>
      <c r="Y414">
        <v>0.26500000000000001</v>
      </c>
      <c r="Z414">
        <v>0.214</v>
      </c>
    </row>
    <row r="415" spans="1:26" x14ac:dyDescent="0.25">
      <c r="A415" s="1" t="s">
        <v>1167</v>
      </c>
      <c r="J415" t="str">
        <f t="shared" si="29"/>
        <v xml:space="preserve">        64.5        0.88      0.7163      0.0156      0.0192       0.035       0.198       0.144              </v>
      </c>
      <c r="S415">
        <v>64.5</v>
      </c>
      <c r="T415">
        <v>0.88</v>
      </c>
      <c r="U415">
        <v>0.71630000000000005</v>
      </c>
      <c r="V415">
        <v>1.5599999999999999E-2</v>
      </c>
      <c r="W415">
        <v>1.9199999999999998E-2</v>
      </c>
      <c r="X415">
        <v>3.5000000000000003E-2</v>
      </c>
      <c r="Y415">
        <v>0.19800000000000001</v>
      </c>
      <c r="Z415">
        <v>0.14399999999999999</v>
      </c>
    </row>
    <row r="416" spans="1:26" x14ac:dyDescent="0.25">
      <c r="A416" s="1" t="s">
        <v>1168</v>
      </c>
      <c r="J416" t="str">
        <f t="shared" si="29"/>
        <v xml:space="preserve">        66.9        0.92      0.5825      0.0078      0.0123       0.022       0.127       0.072              </v>
      </c>
      <c r="S416">
        <v>66.900000000000006</v>
      </c>
      <c r="T416">
        <v>0.92</v>
      </c>
      <c r="U416">
        <v>0.58250000000000002</v>
      </c>
      <c r="V416">
        <v>7.7999999999999996E-3</v>
      </c>
      <c r="W416">
        <v>1.23E-2</v>
      </c>
      <c r="X416">
        <v>2.1999999999999999E-2</v>
      </c>
      <c r="Y416">
        <v>0.127</v>
      </c>
      <c r="Z416">
        <v>7.1999999999999995E-2</v>
      </c>
    </row>
    <row r="417" spans="1:29" x14ac:dyDescent="0.25">
      <c r="A417" s="1" t="s">
        <v>1169</v>
      </c>
      <c r="J417" t="str">
        <f t="shared" si="29"/>
        <v xml:space="preserve">        69.3        0.95     -0.0024      0.0000      0.0057       0.010       0.059       0.000              </v>
      </c>
      <c r="S417">
        <v>69.3</v>
      </c>
      <c r="T417">
        <v>0.95</v>
      </c>
      <c r="U417">
        <v>-2.3999999999999998E-3</v>
      </c>
      <c r="V417">
        <v>0</v>
      </c>
      <c r="W417">
        <v>5.7000000000000002E-3</v>
      </c>
      <c r="X417">
        <v>0.01</v>
      </c>
      <c r="Y417">
        <v>5.8999999999999997E-2</v>
      </c>
      <c r="Z417">
        <v>0</v>
      </c>
    </row>
    <row r="418" spans="1:29" x14ac:dyDescent="0.25">
      <c r="A418" s="1" t="s">
        <v>1</v>
      </c>
    </row>
    <row r="419" spans="1:29" x14ac:dyDescent="0.25">
      <c r="A419" s="1" t="s">
        <v>1</v>
      </c>
    </row>
    <row r="420" spans="1:29" x14ac:dyDescent="0.25">
      <c r="A420" s="1" t="s">
        <v>1</v>
      </c>
    </row>
    <row r="421" spans="1:29" x14ac:dyDescent="0.25">
      <c r="A421" s="1" t="s">
        <v>351</v>
      </c>
      <c r="J421" s="43" t="s">
        <v>1793</v>
      </c>
      <c r="S421">
        <v>12000</v>
      </c>
      <c r="AC421" t="str">
        <f>CONCATENATE($V$16,$AC$13,S421)</f>
        <v>Ct@12000</v>
      </c>
    </row>
    <row r="422" spans="1:29" x14ac:dyDescent="0.25">
      <c r="A422" s="1" t="s">
        <v>1</v>
      </c>
    </row>
    <row r="423" spans="1:29" x14ac:dyDescent="0.25">
      <c r="A423" s="1" t="s">
        <v>9</v>
      </c>
      <c r="J423" t="str">
        <f>A423</f>
        <v xml:space="preserve">         V          J           Pe         Ct          Cp          PWR         Torque      Thrust             </v>
      </c>
      <c r="S423" t="s">
        <v>662</v>
      </c>
      <c r="T423" t="s">
        <v>663</v>
      </c>
      <c r="U423" t="s">
        <v>664</v>
      </c>
      <c r="V423" t="s">
        <v>665</v>
      </c>
      <c r="W423" t="s">
        <v>666</v>
      </c>
      <c r="X423" t="s">
        <v>667</v>
      </c>
      <c r="Y423" t="s">
        <v>668</v>
      </c>
      <c r="Z423" t="s">
        <v>669</v>
      </c>
    </row>
    <row r="424" spans="1:29" x14ac:dyDescent="0.25">
      <c r="A424" s="1" t="s">
        <v>10</v>
      </c>
      <c r="J424" t="str">
        <f t="shared" ref="J424:J454" si="30">A424</f>
        <v xml:space="preserve">       (mph)     (Adv Ratio)                                       (Hp)        (In-Lbf)     (Lbf)             </v>
      </c>
      <c r="S424" t="s">
        <v>670</v>
      </c>
      <c r="T424" t="s">
        <v>1780</v>
      </c>
      <c r="U424" t="s">
        <v>1781</v>
      </c>
      <c r="V424" t="s">
        <v>672</v>
      </c>
      <c r="W424" t="s">
        <v>673</v>
      </c>
      <c r="X424" t="s">
        <v>674</v>
      </c>
    </row>
    <row r="425" spans="1:29" x14ac:dyDescent="0.25">
      <c r="A425" s="1" t="s">
        <v>1170</v>
      </c>
      <c r="J425" t="str">
        <f t="shared" si="30"/>
        <v xml:space="preserve">         0.0        0.00      0.0000      0.1322      0.0633       0.148       0.776       1.456              </v>
      </c>
      <c r="S425">
        <v>0</v>
      </c>
      <c r="T425">
        <v>0</v>
      </c>
      <c r="U425">
        <v>0</v>
      </c>
      <c r="V425">
        <v>0.13220000000000001</v>
      </c>
      <c r="W425">
        <v>6.3299999999999995E-2</v>
      </c>
      <c r="X425">
        <v>0.14799999999999999</v>
      </c>
      <c r="Y425">
        <v>0.77600000000000002</v>
      </c>
      <c r="Z425">
        <v>1.456</v>
      </c>
    </row>
    <row r="426" spans="1:29" x14ac:dyDescent="0.25">
      <c r="A426" s="1" t="s">
        <v>1171</v>
      </c>
      <c r="J426" t="str">
        <f t="shared" si="30"/>
        <v xml:space="preserve">         2.6        0.03      0.0668      0.1318      0.0646       0.151       0.793       1.452              </v>
      </c>
      <c r="S426">
        <v>2.6</v>
      </c>
      <c r="T426">
        <v>0.03</v>
      </c>
      <c r="U426">
        <v>6.6799999999999998E-2</v>
      </c>
      <c r="V426">
        <v>0.1318</v>
      </c>
      <c r="W426">
        <v>6.4600000000000005E-2</v>
      </c>
      <c r="X426">
        <v>0.151</v>
      </c>
      <c r="Y426">
        <v>0.79300000000000004</v>
      </c>
      <c r="Z426">
        <v>1.452</v>
      </c>
    </row>
    <row r="427" spans="1:29" x14ac:dyDescent="0.25">
      <c r="A427" s="1" t="s">
        <v>1172</v>
      </c>
      <c r="J427" t="str">
        <f t="shared" si="30"/>
        <v xml:space="preserve">         5.2        0.07      0.1303      0.1314      0.0660       0.154       0.810       1.447              </v>
      </c>
      <c r="S427">
        <v>5.2</v>
      </c>
      <c r="T427">
        <v>7.0000000000000007E-2</v>
      </c>
      <c r="U427">
        <v>0.1303</v>
      </c>
      <c r="V427">
        <v>0.13139999999999999</v>
      </c>
      <c r="W427">
        <v>6.6000000000000003E-2</v>
      </c>
      <c r="X427">
        <v>0.154</v>
      </c>
      <c r="Y427">
        <v>0.81</v>
      </c>
      <c r="Z427">
        <v>1.4470000000000001</v>
      </c>
    </row>
    <row r="428" spans="1:29" x14ac:dyDescent="0.25">
      <c r="A428" s="1" t="s">
        <v>1173</v>
      </c>
      <c r="J428" t="str">
        <f t="shared" si="30"/>
        <v xml:space="preserve">         7.8        0.10      0.1906      0.1308      0.0674       0.158       0.827       1.441              </v>
      </c>
      <c r="S428">
        <v>7.8</v>
      </c>
      <c r="T428">
        <v>0.1</v>
      </c>
      <c r="U428">
        <v>0.19059999999999999</v>
      </c>
      <c r="V428">
        <v>0.1308</v>
      </c>
      <c r="W428">
        <v>6.7400000000000002E-2</v>
      </c>
      <c r="X428">
        <v>0.158</v>
      </c>
      <c r="Y428">
        <v>0.82699999999999996</v>
      </c>
      <c r="Z428">
        <v>1.4410000000000001</v>
      </c>
    </row>
    <row r="429" spans="1:29" x14ac:dyDescent="0.25">
      <c r="A429" s="1" t="s">
        <v>1174</v>
      </c>
      <c r="J429" t="str">
        <f t="shared" si="30"/>
        <v xml:space="preserve">        10.4        0.13      0.2477      0.1302      0.0688       0.161       0.845       1.434              </v>
      </c>
      <c r="S429">
        <v>10.4</v>
      </c>
      <c r="T429">
        <v>0.13</v>
      </c>
      <c r="U429">
        <v>0.2477</v>
      </c>
      <c r="V429">
        <v>0.13020000000000001</v>
      </c>
      <c r="W429">
        <v>6.88E-2</v>
      </c>
      <c r="X429">
        <v>0.161</v>
      </c>
      <c r="Y429">
        <v>0.84499999999999997</v>
      </c>
      <c r="Z429">
        <v>1.4339999999999999</v>
      </c>
    </row>
    <row r="430" spans="1:29" x14ac:dyDescent="0.25">
      <c r="A430" s="1" t="s">
        <v>1175</v>
      </c>
      <c r="J430" t="str">
        <f t="shared" si="30"/>
        <v xml:space="preserve">        13.0        0.16      0.3017      0.1293      0.0702       0.164       0.861       1.424              </v>
      </c>
      <c r="S430">
        <v>13</v>
      </c>
      <c r="T430">
        <v>0.16</v>
      </c>
      <c r="U430">
        <v>0.30170000000000002</v>
      </c>
      <c r="V430">
        <v>0.1293</v>
      </c>
      <c r="W430">
        <v>7.0199999999999999E-2</v>
      </c>
      <c r="X430">
        <v>0.16400000000000001</v>
      </c>
      <c r="Y430">
        <v>0.86099999999999999</v>
      </c>
      <c r="Z430">
        <v>1.4239999999999999</v>
      </c>
    </row>
    <row r="431" spans="1:29" x14ac:dyDescent="0.25">
      <c r="A431" s="1" t="s">
        <v>1176</v>
      </c>
      <c r="J431" t="str">
        <f t="shared" si="30"/>
        <v xml:space="preserve">        15.6        0.20      0.3526      0.1282      0.0714       0.167       0.877       1.412              </v>
      </c>
      <c r="S431">
        <v>15.6</v>
      </c>
      <c r="T431">
        <v>0.2</v>
      </c>
      <c r="U431">
        <v>0.35260000000000002</v>
      </c>
      <c r="V431">
        <v>0.12820000000000001</v>
      </c>
      <c r="W431">
        <v>7.1400000000000005E-2</v>
      </c>
      <c r="X431">
        <v>0.16700000000000001</v>
      </c>
      <c r="Y431">
        <v>0.877</v>
      </c>
      <c r="Z431">
        <v>1.4119999999999999</v>
      </c>
    </row>
    <row r="432" spans="1:29" x14ac:dyDescent="0.25">
      <c r="A432" s="1" t="s">
        <v>1177</v>
      </c>
      <c r="J432" t="str">
        <f t="shared" si="30"/>
        <v xml:space="preserve">        18.2        0.23      0.4006      0.1267      0.0725       0.169       0.890       1.396              </v>
      </c>
      <c r="S432">
        <v>18.2</v>
      </c>
      <c r="T432">
        <v>0.23</v>
      </c>
      <c r="U432">
        <v>0.40060000000000001</v>
      </c>
      <c r="V432">
        <v>0.12670000000000001</v>
      </c>
      <c r="W432">
        <v>7.2499999999999995E-2</v>
      </c>
      <c r="X432">
        <v>0.16900000000000001</v>
      </c>
      <c r="Y432">
        <v>0.89</v>
      </c>
      <c r="Z432">
        <v>1.3959999999999999</v>
      </c>
    </row>
    <row r="433" spans="1:26" x14ac:dyDescent="0.25">
      <c r="A433" s="1" t="s">
        <v>1178</v>
      </c>
      <c r="J433" t="str">
        <f t="shared" si="30"/>
        <v xml:space="preserve">        20.8        0.26      0.4457      0.1248      0.0734       0.171       0.900       1.375              </v>
      </c>
      <c r="S433">
        <v>20.8</v>
      </c>
      <c r="T433">
        <v>0.26</v>
      </c>
      <c r="U433">
        <v>0.44569999999999999</v>
      </c>
      <c r="V433">
        <v>0.12479999999999999</v>
      </c>
      <c r="W433">
        <v>7.3400000000000007E-2</v>
      </c>
      <c r="X433">
        <v>0.17100000000000001</v>
      </c>
      <c r="Y433">
        <v>0.9</v>
      </c>
      <c r="Z433">
        <v>1.375</v>
      </c>
    </row>
    <row r="434" spans="1:26" x14ac:dyDescent="0.25">
      <c r="A434" s="1" t="s">
        <v>1179</v>
      </c>
      <c r="J434" t="str">
        <f t="shared" si="30"/>
        <v xml:space="preserve">        23.4        0.29      0.4881      0.1225      0.0739       0.173       0.907       1.349              </v>
      </c>
      <c r="S434">
        <v>23.4</v>
      </c>
      <c r="T434">
        <v>0.28999999999999998</v>
      </c>
      <c r="U434">
        <v>0.48809999999999998</v>
      </c>
      <c r="V434">
        <v>0.1225</v>
      </c>
      <c r="W434">
        <v>7.3899999999999993E-2</v>
      </c>
      <c r="X434">
        <v>0.17299999999999999</v>
      </c>
      <c r="Y434">
        <v>0.90700000000000003</v>
      </c>
      <c r="Z434">
        <v>1.349</v>
      </c>
    </row>
    <row r="435" spans="1:26" x14ac:dyDescent="0.25">
      <c r="A435" s="1" t="s">
        <v>1180</v>
      </c>
      <c r="J435" t="str">
        <f t="shared" si="30"/>
        <v xml:space="preserve">        26.0        0.33      0.5277      0.1196      0.0742       0.173       0.911       1.317              </v>
      </c>
      <c r="S435">
        <v>26</v>
      </c>
      <c r="T435">
        <v>0.33</v>
      </c>
      <c r="U435">
        <v>0.52769999999999995</v>
      </c>
      <c r="V435">
        <v>0.1196</v>
      </c>
      <c r="W435">
        <v>7.4200000000000002E-2</v>
      </c>
      <c r="X435">
        <v>0.17299999999999999</v>
      </c>
      <c r="Y435">
        <v>0.91100000000000003</v>
      </c>
      <c r="Z435">
        <v>1.3169999999999999</v>
      </c>
    </row>
    <row r="436" spans="1:26" x14ac:dyDescent="0.25">
      <c r="A436" s="1" t="s">
        <v>1181</v>
      </c>
      <c r="J436" t="str">
        <f t="shared" si="30"/>
        <v xml:space="preserve">        28.7        0.36      0.5646      0.1163      0.0742       0.173       0.910       1.280              </v>
      </c>
      <c r="S436">
        <v>28.7</v>
      </c>
      <c r="T436">
        <v>0.36</v>
      </c>
      <c r="U436">
        <v>0.56459999999999999</v>
      </c>
      <c r="V436">
        <v>0.1163</v>
      </c>
      <c r="W436">
        <v>7.4200000000000002E-2</v>
      </c>
      <c r="X436">
        <v>0.17299999999999999</v>
      </c>
      <c r="Y436">
        <v>0.91</v>
      </c>
      <c r="Z436">
        <v>1.28</v>
      </c>
    </row>
    <row r="437" spans="1:26" x14ac:dyDescent="0.25">
      <c r="A437" s="1" t="s">
        <v>1182</v>
      </c>
      <c r="J437" t="str">
        <f t="shared" si="30"/>
        <v xml:space="preserve">        31.3        0.39      0.5990      0.1124      0.0737       0.172       0.904       1.238              </v>
      </c>
      <c r="S437">
        <v>31.3</v>
      </c>
      <c r="T437">
        <v>0.39</v>
      </c>
      <c r="U437">
        <v>0.59899999999999998</v>
      </c>
      <c r="V437">
        <v>0.1124</v>
      </c>
      <c r="W437">
        <v>7.3700000000000002E-2</v>
      </c>
      <c r="X437">
        <v>0.17199999999999999</v>
      </c>
      <c r="Y437">
        <v>0.90400000000000003</v>
      </c>
      <c r="Z437">
        <v>1.238</v>
      </c>
    </row>
    <row r="438" spans="1:26" x14ac:dyDescent="0.25">
      <c r="A438" s="1" t="s">
        <v>1183</v>
      </c>
      <c r="J438" t="str">
        <f t="shared" si="30"/>
        <v xml:space="preserve">        33.9        0.43      0.6308      0.1079      0.0728       0.170       0.894       1.189              </v>
      </c>
      <c r="S438">
        <v>33.9</v>
      </c>
      <c r="T438">
        <v>0.43</v>
      </c>
      <c r="U438">
        <v>0.63080000000000003</v>
      </c>
      <c r="V438">
        <v>0.1079</v>
      </c>
      <c r="W438">
        <v>7.2800000000000004E-2</v>
      </c>
      <c r="X438">
        <v>0.17</v>
      </c>
      <c r="Y438">
        <v>0.89400000000000002</v>
      </c>
      <c r="Z438">
        <v>1.1890000000000001</v>
      </c>
    </row>
    <row r="439" spans="1:26" x14ac:dyDescent="0.25">
      <c r="A439" s="1" t="s">
        <v>1184</v>
      </c>
      <c r="J439" t="str">
        <f t="shared" si="30"/>
        <v xml:space="preserve">        36.5        0.46      0.6601      0.1030      0.0715       0.167       0.877       1.134              </v>
      </c>
      <c r="S439">
        <v>36.5</v>
      </c>
      <c r="T439">
        <v>0.46</v>
      </c>
      <c r="U439">
        <v>0.66010000000000002</v>
      </c>
      <c r="V439">
        <v>0.10299999999999999</v>
      </c>
      <c r="W439">
        <v>7.1499999999999994E-2</v>
      </c>
      <c r="X439">
        <v>0.16700000000000001</v>
      </c>
      <c r="Y439">
        <v>0.877</v>
      </c>
      <c r="Z439">
        <v>1.1339999999999999</v>
      </c>
    </row>
    <row r="440" spans="1:26" x14ac:dyDescent="0.25">
      <c r="A440" s="1" t="s">
        <v>1185</v>
      </c>
      <c r="J440" t="str">
        <f t="shared" si="30"/>
        <v xml:space="preserve">        39.1        0.49      0.6868      0.0975      0.0697       0.163       0.856       1.074              </v>
      </c>
      <c r="S440">
        <v>39.1</v>
      </c>
      <c r="T440">
        <v>0.49</v>
      </c>
      <c r="U440">
        <v>0.68679999999999997</v>
      </c>
      <c r="V440">
        <v>9.7500000000000003E-2</v>
      </c>
      <c r="W440">
        <v>6.9699999999999998E-2</v>
      </c>
      <c r="X440">
        <v>0.16300000000000001</v>
      </c>
      <c r="Y440">
        <v>0.85599999999999998</v>
      </c>
      <c r="Z440">
        <v>1.0740000000000001</v>
      </c>
    </row>
    <row r="441" spans="1:26" x14ac:dyDescent="0.25">
      <c r="A441" s="1" t="s">
        <v>1186</v>
      </c>
      <c r="J441" t="str">
        <f t="shared" si="30"/>
        <v xml:space="preserve">        41.7        0.52      0.7107      0.0916      0.0675       0.158       0.828       1.009              </v>
      </c>
      <c r="S441">
        <v>41.7</v>
      </c>
      <c r="T441">
        <v>0.52</v>
      </c>
      <c r="U441">
        <v>0.7107</v>
      </c>
      <c r="V441">
        <v>9.1600000000000001E-2</v>
      </c>
      <c r="W441">
        <v>6.7500000000000004E-2</v>
      </c>
      <c r="X441">
        <v>0.158</v>
      </c>
      <c r="Y441">
        <v>0.82799999999999996</v>
      </c>
      <c r="Z441">
        <v>1.0089999999999999</v>
      </c>
    </row>
    <row r="442" spans="1:26" x14ac:dyDescent="0.25">
      <c r="A442" s="1" t="s">
        <v>1187</v>
      </c>
      <c r="J442" t="str">
        <f t="shared" si="30"/>
        <v xml:space="preserve">        44.3        0.56      0.7321      0.0854      0.0650       0.152       0.797       0.941              </v>
      </c>
      <c r="S442">
        <v>44.3</v>
      </c>
      <c r="T442">
        <v>0.56000000000000005</v>
      </c>
      <c r="U442">
        <v>0.73209999999999997</v>
      </c>
      <c r="V442">
        <v>8.5400000000000004E-2</v>
      </c>
      <c r="W442">
        <v>6.5000000000000002E-2</v>
      </c>
      <c r="X442">
        <v>0.152</v>
      </c>
      <c r="Y442">
        <v>0.79700000000000004</v>
      </c>
      <c r="Z442">
        <v>0.94099999999999995</v>
      </c>
    </row>
    <row r="443" spans="1:26" x14ac:dyDescent="0.25">
      <c r="A443" s="1" t="s">
        <v>1188</v>
      </c>
      <c r="J443" t="str">
        <f t="shared" si="30"/>
        <v xml:space="preserve">        46.9        0.59      0.7507      0.0791      0.0621       0.145       0.763       0.872              </v>
      </c>
      <c r="S443">
        <v>46.9</v>
      </c>
      <c r="T443">
        <v>0.59</v>
      </c>
      <c r="U443">
        <v>0.75070000000000003</v>
      </c>
      <c r="V443">
        <v>7.9100000000000004E-2</v>
      </c>
      <c r="W443">
        <v>6.2100000000000002E-2</v>
      </c>
      <c r="X443">
        <v>0.14499999999999999</v>
      </c>
      <c r="Y443">
        <v>0.76300000000000001</v>
      </c>
      <c r="Z443">
        <v>0.872</v>
      </c>
    </row>
    <row r="444" spans="1:26" x14ac:dyDescent="0.25">
      <c r="A444" s="1" t="s">
        <v>1189</v>
      </c>
      <c r="J444" t="str">
        <f t="shared" si="30"/>
        <v xml:space="preserve">        49.5        0.62      0.7668      0.0727      0.0590       0.138       0.724       0.801              </v>
      </c>
      <c r="S444">
        <v>49.5</v>
      </c>
      <c r="T444">
        <v>0.62</v>
      </c>
      <c r="U444">
        <v>0.76680000000000004</v>
      </c>
      <c r="V444">
        <v>7.2700000000000001E-2</v>
      </c>
      <c r="W444">
        <v>5.8999999999999997E-2</v>
      </c>
      <c r="X444">
        <v>0.13800000000000001</v>
      </c>
      <c r="Y444">
        <v>0.72399999999999998</v>
      </c>
      <c r="Z444">
        <v>0.80100000000000005</v>
      </c>
    </row>
    <row r="445" spans="1:26" x14ac:dyDescent="0.25">
      <c r="A445" s="1" t="s">
        <v>1190</v>
      </c>
      <c r="J445" t="str">
        <f t="shared" si="30"/>
        <v xml:space="preserve">        52.1        0.65      0.7803      0.0661      0.0555       0.130       0.681       0.728              </v>
      </c>
      <c r="S445">
        <v>52.1</v>
      </c>
      <c r="T445">
        <v>0.65</v>
      </c>
      <c r="U445">
        <v>0.78029999999999999</v>
      </c>
      <c r="V445">
        <v>6.6100000000000006E-2</v>
      </c>
      <c r="W445">
        <v>5.5500000000000001E-2</v>
      </c>
      <c r="X445">
        <v>0.13</v>
      </c>
      <c r="Y445">
        <v>0.68100000000000005</v>
      </c>
      <c r="Z445">
        <v>0.72799999999999998</v>
      </c>
    </row>
    <row r="446" spans="1:26" x14ac:dyDescent="0.25">
      <c r="A446" s="1" t="s">
        <v>1191</v>
      </c>
      <c r="J446" t="str">
        <f t="shared" si="30"/>
        <v xml:space="preserve">        54.7        0.69      0.7914      0.0593      0.0516       0.120       0.633       0.654              </v>
      </c>
      <c r="S446">
        <v>54.7</v>
      </c>
      <c r="T446">
        <v>0.69</v>
      </c>
      <c r="U446">
        <v>0.79139999999999999</v>
      </c>
      <c r="V446">
        <v>5.9299999999999999E-2</v>
      </c>
      <c r="W446">
        <v>5.16E-2</v>
      </c>
      <c r="X446">
        <v>0.12</v>
      </c>
      <c r="Y446">
        <v>0.63300000000000001</v>
      </c>
      <c r="Z446">
        <v>0.65400000000000003</v>
      </c>
    </row>
    <row r="447" spans="1:26" x14ac:dyDescent="0.25">
      <c r="A447" s="1" t="s">
        <v>1192</v>
      </c>
      <c r="J447" t="str">
        <f t="shared" si="30"/>
        <v xml:space="preserve">        57.3        0.72      0.7994      0.0524      0.0473       0.110       0.580       0.578              </v>
      </c>
      <c r="S447">
        <v>57.3</v>
      </c>
      <c r="T447">
        <v>0.72</v>
      </c>
      <c r="U447">
        <v>0.7994</v>
      </c>
      <c r="V447">
        <v>5.2400000000000002E-2</v>
      </c>
      <c r="W447">
        <v>4.7300000000000002E-2</v>
      </c>
      <c r="X447">
        <v>0.11</v>
      </c>
      <c r="Y447">
        <v>0.57999999999999996</v>
      </c>
      <c r="Z447">
        <v>0.57799999999999996</v>
      </c>
    </row>
    <row r="448" spans="1:26" x14ac:dyDescent="0.25">
      <c r="A448" s="1" t="s">
        <v>1193</v>
      </c>
      <c r="J448" t="str">
        <f t="shared" si="30"/>
        <v xml:space="preserve">        59.9        0.75      0.8039      0.0454      0.0425       0.099       0.522       0.500              </v>
      </c>
      <c r="S448">
        <v>59.9</v>
      </c>
      <c r="T448">
        <v>0.75</v>
      </c>
      <c r="U448">
        <v>0.80389999999999995</v>
      </c>
      <c r="V448">
        <v>4.5400000000000003E-2</v>
      </c>
      <c r="W448">
        <v>4.2500000000000003E-2</v>
      </c>
      <c r="X448">
        <v>9.9000000000000005E-2</v>
      </c>
      <c r="Y448">
        <v>0.52200000000000002</v>
      </c>
      <c r="Z448">
        <v>0.5</v>
      </c>
    </row>
    <row r="449" spans="1:29" x14ac:dyDescent="0.25">
      <c r="A449" s="1" t="s">
        <v>1194</v>
      </c>
      <c r="J449" t="str">
        <f t="shared" si="30"/>
        <v xml:space="preserve">        62.5        0.79      0.8041      0.0382      0.0373       0.087       0.458       0.421              </v>
      </c>
      <c r="S449">
        <v>62.5</v>
      </c>
      <c r="T449">
        <v>0.79</v>
      </c>
      <c r="U449">
        <v>0.80410000000000004</v>
      </c>
      <c r="V449">
        <v>3.8199999999999998E-2</v>
      </c>
      <c r="W449">
        <v>3.73E-2</v>
      </c>
      <c r="X449">
        <v>8.6999999999999994E-2</v>
      </c>
      <c r="Y449">
        <v>0.45800000000000002</v>
      </c>
      <c r="Z449">
        <v>0.42099999999999999</v>
      </c>
    </row>
    <row r="450" spans="1:29" x14ac:dyDescent="0.25">
      <c r="A450" s="1" t="s">
        <v>1195</v>
      </c>
      <c r="J450" t="str">
        <f t="shared" si="30"/>
        <v xml:space="preserve">        65.1        0.82      0.7971      0.0308      0.0316       0.074       0.388       0.339              </v>
      </c>
      <c r="S450">
        <v>65.099999999999994</v>
      </c>
      <c r="T450">
        <v>0.82</v>
      </c>
      <c r="U450">
        <v>0.79710000000000003</v>
      </c>
      <c r="V450">
        <v>3.0800000000000001E-2</v>
      </c>
      <c r="W450">
        <v>3.1600000000000003E-2</v>
      </c>
      <c r="X450">
        <v>7.3999999999999996E-2</v>
      </c>
      <c r="Y450">
        <v>0.38800000000000001</v>
      </c>
      <c r="Z450">
        <v>0.33900000000000002</v>
      </c>
    </row>
    <row r="451" spans="1:29" x14ac:dyDescent="0.25">
      <c r="A451" s="1" t="s">
        <v>1196</v>
      </c>
      <c r="J451" t="str">
        <f t="shared" si="30"/>
        <v xml:space="preserve">        67.7        0.85      0.7753      0.0233      0.0256       0.060       0.314       0.256              </v>
      </c>
      <c r="S451">
        <v>67.7</v>
      </c>
      <c r="T451">
        <v>0.85</v>
      </c>
      <c r="U451">
        <v>0.77529999999999999</v>
      </c>
      <c r="V451">
        <v>2.3300000000000001E-2</v>
      </c>
      <c r="W451">
        <v>2.5600000000000001E-2</v>
      </c>
      <c r="X451">
        <v>0.06</v>
      </c>
      <c r="Y451">
        <v>0.314</v>
      </c>
      <c r="Z451">
        <v>0.25600000000000001</v>
      </c>
    </row>
    <row r="452" spans="1:29" x14ac:dyDescent="0.25">
      <c r="A452" s="1" t="s">
        <v>1197</v>
      </c>
      <c r="J452" t="str">
        <f t="shared" si="30"/>
        <v xml:space="preserve">        70.3        0.88      0.7227      0.0156      0.0190       0.044       0.234       0.171              </v>
      </c>
      <c r="S452">
        <v>70.3</v>
      </c>
      <c r="T452">
        <v>0.88</v>
      </c>
      <c r="U452">
        <v>0.72270000000000001</v>
      </c>
      <c r="V452">
        <v>1.5599999999999999E-2</v>
      </c>
      <c r="W452">
        <v>1.9E-2</v>
      </c>
      <c r="X452">
        <v>4.3999999999999997E-2</v>
      </c>
      <c r="Y452">
        <v>0.23400000000000001</v>
      </c>
      <c r="Z452">
        <v>0.17100000000000001</v>
      </c>
    </row>
    <row r="453" spans="1:29" x14ac:dyDescent="0.25">
      <c r="A453" s="1" t="s">
        <v>1198</v>
      </c>
      <c r="J453" t="str">
        <f t="shared" si="30"/>
        <v xml:space="preserve">        72.9        0.92      0.5861      0.0078      0.0122       0.029       0.150       0.086              </v>
      </c>
      <c r="S453">
        <v>72.900000000000006</v>
      </c>
      <c r="T453">
        <v>0.92</v>
      </c>
      <c r="U453">
        <v>0.58609999999999995</v>
      </c>
      <c r="V453">
        <v>7.7999999999999996E-3</v>
      </c>
      <c r="W453">
        <v>1.2200000000000001E-2</v>
      </c>
      <c r="X453">
        <v>2.9000000000000001E-2</v>
      </c>
      <c r="Y453">
        <v>0.15</v>
      </c>
      <c r="Z453">
        <v>8.5999999999999993E-2</v>
      </c>
    </row>
    <row r="454" spans="1:29" x14ac:dyDescent="0.25">
      <c r="A454" s="1" t="s">
        <v>1199</v>
      </c>
      <c r="J454" t="str">
        <f t="shared" si="30"/>
        <v xml:space="preserve">        75.5        0.95     -0.0037      0.0000      0.0057       0.013       0.070       0.000              </v>
      </c>
      <c r="S454">
        <v>75.5</v>
      </c>
      <c r="T454">
        <v>0.95</v>
      </c>
      <c r="U454">
        <v>-3.7000000000000002E-3</v>
      </c>
      <c r="V454">
        <v>0</v>
      </c>
      <c r="W454">
        <v>5.7000000000000002E-3</v>
      </c>
      <c r="X454">
        <v>1.2999999999999999E-2</v>
      </c>
      <c r="Y454">
        <v>7.0000000000000007E-2</v>
      </c>
      <c r="Z454">
        <v>0</v>
      </c>
    </row>
    <row r="455" spans="1:29" x14ac:dyDescent="0.25">
      <c r="A455" s="1" t="s">
        <v>1</v>
      </c>
    </row>
    <row r="456" spans="1:29" x14ac:dyDescent="0.25">
      <c r="A456" s="1" t="s">
        <v>1</v>
      </c>
    </row>
    <row r="457" spans="1:29" x14ac:dyDescent="0.25">
      <c r="A457" s="1" t="s">
        <v>1</v>
      </c>
    </row>
    <row r="458" spans="1:29" x14ac:dyDescent="0.25">
      <c r="A458" s="1" t="s">
        <v>382</v>
      </c>
      <c r="J458" s="43" t="s">
        <v>1794</v>
      </c>
      <c r="S458">
        <v>13000</v>
      </c>
      <c r="AC458" t="str">
        <f>CONCATENATE($V$16,$AC$13,S458)</f>
        <v>Ct@13000</v>
      </c>
    </row>
    <row r="459" spans="1:29" x14ac:dyDescent="0.25">
      <c r="A459" s="1" t="s">
        <v>1</v>
      </c>
    </row>
    <row r="460" spans="1:29" x14ac:dyDescent="0.25">
      <c r="A460" s="1" t="s">
        <v>9</v>
      </c>
      <c r="J460" t="str">
        <f>A460</f>
        <v xml:space="preserve">         V          J           Pe         Ct          Cp          PWR         Torque      Thrust             </v>
      </c>
      <c r="S460" t="s">
        <v>662</v>
      </c>
      <c r="T460" t="s">
        <v>663</v>
      </c>
      <c r="U460" t="s">
        <v>664</v>
      </c>
      <c r="V460" t="s">
        <v>665</v>
      </c>
      <c r="W460" t="s">
        <v>666</v>
      </c>
      <c r="X460" t="s">
        <v>667</v>
      </c>
      <c r="Y460" t="s">
        <v>668</v>
      </c>
      <c r="Z460" t="s">
        <v>669</v>
      </c>
    </row>
    <row r="461" spans="1:29" x14ac:dyDescent="0.25">
      <c r="A461" s="1" t="s">
        <v>10</v>
      </c>
      <c r="J461" t="str">
        <f t="shared" ref="J461:J491" si="31">A461</f>
        <v xml:space="preserve">       (mph)     (Adv Ratio)                                       (Hp)        (In-Lbf)     (Lbf)             </v>
      </c>
      <c r="S461" t="s">
        <v>670</v>
      </c>
      <c r="T461" t="s">
        <v>1780</v>
      </c>
      <c r="U461" t="s">
        <v>1781</v>
      </c>
      <c r="V461" t="s">
        <v>672</v>
      </c>
      <c r="W461" t="s">
        <v>673</v>
      </c>
      <c r="X461" t="s">
        <v>674</v>
      </c>
    </row>
    <row r="462" spans="1:29" x14ac:dyDescent="0.25">
      <c r="A462" s="1" t="s">
        <v>1200</v>
      </c>
      <c r="J462" t="str">
        <f t="shared" si="31"/>
        <v xml:space="preserve">         0.0        0.00      0.0000      0.1323      0.0623       0.185       0.897       1.710              </v>
      </c>
      <c r="S462">
        <v>0</v>
      </c>
      <c r="T462">
        <v>0</v>
      </c>
      <c r="U462">
        <v>0</v>
      </c>
      <c r="V462">
        <v>0.1323</v>
      </c>
      <c r="W462">
        <v>6.2300000000000001E-2</v>
      </c>
      <c r="X462">
        <v>0.185</v>
      </c>
      <c r="Y462">
        <v>0.89700000000000002</v>
      </c>
      <c r="Z462">
        <v>1.71</v>
      </c>
    </row>
    <row r="463" spans="1:29" x14ac:dyDescent="0.25">
      <c r="A463" s="1" t="s">
        <v>1201</v>
      </c>
      <c r="J463" t="str">
        <f t="shared" si="31"/>
        <v xml:space="preserve">         2.8        0.03      0.0678      0.1320      0.0637       0.189       0.918       1.706              </v>
      </c>
      <c r="S463">
        <v>2.8</v>
      </c>
      <c r="T463">
        <v>0.03</v>
      </c>
      <c r="U463">
        <v>6.7799999999999999E-2</v>
      </c>
      <c r="V463">
        <v>0.13200000000000001</v>
      </c>
      <c r="W463">
        <v>6.3700000000000007E-2</v>
      </c>
      <c r="X463">
        <v>0.189</v>
      </c>
      <c r="Y463">
        <v>0.91800000000000004</v>
      </c>
      <c r="Z463">
        <v>1.706</v>
      </c>
    </row>
    <row r="464" spans="1:29" x14ac:dyDescent="0.25">
      <c r="A464" s="1" t="s">
        <v>1202</v>
      </c>
      <c r="J464" t="str">
        <f t="shared" si="31"/>
        <v xml:space="preserve">         5.6        0.07      0.1321      0.1316      0.0652       0.194       0.939       1.701              </v>
      </c>
      <c r="S464">
        <v>5.6</v>
      </c>
      <c r="T464">
        <v>7.0000000000000007E-2</v>
      </c>
      <c r="U464">
        <v>0.1321</v>
      </c>
      <c r="V464">
        <v>0.13159999999999999</v>
      </c>
      <c r="W464">
        <v>6.5199999999999994E-2</v>
      </c>
      <c r="X464">
        <v>0.19400000000000001</v>
      </c>
      <c r="Y464">
        <v>0.93899999999999995</v>
      </c>
      <c r="Z464">
        <v>1.7010000000000001</v>
      </c>
    </row>
    <row r="465" spans="1:26" x14ac:dyDescent="0.25">
      <c r="A465" s="1" t="s">
        <v>1203</v>
      </c>
      <c r="J465" t="str">
        <f t="shared" si="31"/>
        <v xml:space="preserve">         8.5        0.10      0.1930      0.1311      0.0667       0.198       0.961       1.694              </v>
      </c>
      <c r="S465">
        <v>8.5</v>
      </c>
      <c r="T465">
        <v>0.1</v>
      </c>
      <c r="U465">
        <v>0.193</v>
      </c>
      <c r="V465">
        <v>0.13109999999999999</v>
      </c>
      <c r="W465">
        <v>6.6699999999999995E-2</v>
      </c>
      <c r="X465">
        <v>0.19800000000000001</v>
      </c>
      <c r="Y465">
        <v>0.96099999999999997</v>
      </c>
      <c r="Z465">
        <v>1.694</v>
      </c>
    </row>
    <row r="466" spans="1:26" x14ac:dyDescent="0.25">
      <c r="A466" s="1" t="s">
        <v>1204</v>
      </c>
      <c r="J466" t="str">
        <f t="shared" si="31"/>
        <v xml:space="preserve">        11.3        0.13      0.2505      0.1304      0.0682       0.203       0.982       1.686              </v>
      </c>
      <c r="S466">
        <v>11.3</v>
      </c>
      <c r="T466">
        <v>0.13</v>
      </c>
      <c r="U466">
        <v>0.2505</v>
      </c>
      <c r="V466">
        <v>0.13039999999999999</v>
      </c>
      <c r="W466">
        <v>6.8199999999999997E-2</v>
      </c>
      <c r="X466">
        <v>0.20300000000000001</v>
      </c>
      <c r="Y466">
        <v>0.98199999999999998</v>
      </c>
      <c r="Z466">
        <v>1.6859999999999999</v>
      </c>
    </row>
    <row r="467" spans="1:26" x14ac:dyDescent="0.25">
      <c r="A467" s="1" t="s">
        <v>1205</v>
      </c>
      <c r="J467" t="str">
        <f t="shared" si="31"/>
        <v xml:space="preserve">        14.1        0.16      0.3047      0.1297      0.0697       0.207       1.003       1.676              </v>
      </c>
      <c r="S467">
        <v>14.1</v>
      </c>
      <c r="T467">
        <v>0.16</v>
      </c>
      <c r="U467">
        <v>0.30470000000000003</v>
      </c>
      <c r="V467">
        <v>0.12970000000000001</v>
      </c>
      <c r="W467">
        <v>6.9699999999999998E-2</v>
      </c>
      <c r="X467">
        <v>0.20699999999999999</v>
      </c>
      <c r="Y467">
        <v>1.0029999999999999</v>
      </c>
      <c r="Z467">
        <v>1.6759999999999999</v>
      </c>
    </row>
    <row r="468" spans="1:26" x14ac:dyDescent="0.25">
      <c r="A468" s="1" t="s">
        <v>1206</v>
      </c>
      <c r="J468" t="str">
        <f t="shared" si="31"/>
        <v xml:space="preserve">        16.9        0.20      0.3557      0.1286      0.0710       0.211       1.023       1.662              </v>
      </c>
      <c r="S468">
        <v>16.899999999999999</v>
      </c>
      <c r="T468">
        <v>0.2</v>
      </c>
      <c r="U468">
        <v>0.35570000000000002</v>
      </c>
      <c r="V468">
        <v>0.12859999999999999</v>
      </c>
      <c r="W468">
        <v>7.0999999999999994E-2</v>
      </c>
      <c r="X468">
        <v>0.21099999999999999</v>
      </c>
      <c r="Y468">
        <v>1.0229999999999999</v>
      </c>
      <c r="Z468">
        <v>1.6619999999999999</v>
      </c>
    </row>
    <row r="469" spans="1:26" x14ac:dyDescent="0.25">
      <c r="A469" s="1" t="s">
        <v>1207</v>
      </c>
      <c r="J469" t="str">
        <f t="shared" si="31"/>
        <v xml:space="preserve">        19.7        0.23      0.4037      0.1272      0.0722       0.214       1.040       1.644              </v>
      </c>
      <c r="S469">
        <v>19.7</v>
      </c>
      <c r="T469">
        <v>0.23</v>
      </c>
      <c r="U469">
        <v>0.4037</v>
      </c>
      <c r="V469">
        <v>0.12720000000000001</v>
      </c>
      <c r="W469">
        <v>7.22E-2</v>
      </c>
      <c r="X469">
        <v>0.214</v>
      </c>
      <c r="Y469">
        <v>1.04</v>
      </c>
      <c r="Z469">
        <v>1.6439999999999999</v>
      </c>
    </row>
    <row r="470" spans="1:26" x14ac:dyDescent="0.25">
      <c r="A470" s="1" t="s">
        <v>1208</v>
      </c>
      <c r="J470" t="str">
        <f t="shared" si="31"/>
        <v xml:space="preserve">        22.6        0.26      0.4488      0.1254      0.0732       0.217       1.054       1.621              </v>
      </c>
      <c r="S470">
        <v>22.6</v>
      </c>
      <c r="T470">
        <v>0.26</v>
      </c>
      <c r="U470">
        <v>0.44879999999999998</v>
      </c>
      <c r="V470">
        <v>0.12540000000000001</v>
      </c>
      <c r="W470">
        <v>7.3200000000000001E-2</v>
      </c>
      <c r="X470">
        <v>0.217</v>
      </c>
      <c r="Y470">
        <v>1.054</v>
      </c>
      <c r="Z470">
        <v>1.621</v>
      </c>
    </row>
    <row r="471" spans="1:26" x14ac:dyDescent="0.25">
      <c r="A471" s="1" t="s">
        <v>1209</v>
      </c>
      <c r="J471" t="str">
        <f t="shared" si="31"/>
        <v xml:space="preserve">        25.4        0.29      0.4911      0.1230      0.0738       0.219       1.063       1.591              </v>
      </c>
      <c r="S471">
        <v>25.4</v>
      </c>
      <c r="T471">
        <v>0.28999999999999998</v>
      </c>
      <c r="U471">
        <v>0.49109999999999998</v>
      </c>
      <c r="V471">
        <v>0.123</v>
      </c>
      <c r="W471">
        <v>7.3800000000000004E-2</v>
      </c>
      <c r="X471">
        <v>0.219</v>
      </c>
      <c r="Y471">
        <v>1.0629999999999999</v>
      </c>
      <c r="Z471">
        <v>1.591</v>
      </c>
    </row>
    <row r="472" spans="1:26" x14ac:dyDescent="0.25">
      <c r="A472" s="1" t="s">
        <v>1210</v>
      </c>
      <c r="J472" t="str">
        <f t="shared" si="31"/>
        <v xml:space="preserve">        28.2        0.33      0.5307      0.1202      0.0742       0.220       1.068       1.554              </v>
      </c>
      <c r="S472">
        <v>28.2</v>
      </c>
      <c r="T472">
        <v>0.33</v>
      </c>
      <c r="U472">
        <v>0.53069999999999995</v>
      </c>
      <c r="V472">
        <v>0.1202</v>
      </c>
      <c r="W472">
        <v>7.4200000000000002E-2</v>
      </c>
      <c r="X472">
        <v>0.22</v>
      </c>
      <c r="Y472">
        <v>1.0680000000000001</v>
      </c>
      <c r="Z472">
        <v>1.554</v>
      </c>
    </row>
    <row r="473" spans="1:26" x14ac:dyDescent="0.25">
      <c r="A473" s="1" t="s">
        <v>1211</v>
      </c>
      <c r="J473" t="str">
        <f t="shared" si="31"/>
        <v xml:space="preserve">        31.0        0.36      0.5676      0.1169      0.0742       0.220       1.068       1.511              </v>
      </c>
      <c r="S473">
        <v>31</v>
      </c>
      <c r="T473">
        <v>0.36</v>
      </c>
      <c r="U473">
        <v>0.56759999999999999</v>
      </c>
      <c r="V473">
        <v>0.1169</v>
      </c>
      <c r="W473">
        <v>7.4200000000000002E-2</v>
      </c>
      <c r="X473">
        <v>0.22</v>
      </c>
      <c r="Y473">
        <v>1.0680000000000001</v>
      </c>
      <c r="Z473">
        <v>1.5109999999999999</v>
      </c>
    </row>
    <row r="474" spans="1:26" x14ac:dyDescent="0.25">
      <c r="A474" s="1" t="s">
        <v>1212</v>
      </c>
      <c r="J474" t="str">
        <f t="shared" si="31"/>
        <v xml:space="preserve">        33.9        0.39      0.6020      0.1130      0.0737       0.219       1.062       1.461              </v>
      </c>
      <c r="S474">
        <v>33.9</v>
      </c>
      <c r="T474">
        <v>0.39</v>
      </c>
      <c r="U474">
        <v>0.60199999999999998</v>
      </c>
      <c r="V474">
        <v>0.113</v>
      </c>
      <c r="W474">
        <v>7.3700000000000002E-2</v>
      </c>
      <c r="X474">
        <v>0.219</v>
      </c>
      <c r="Y474">
        <v>1.0620000000000001</v>
      </c>
      <c r="Z474">
        <v>1.4610000000000001</v>
      </c>
    </row>
    <row r="475" spans="1:26" x14ac:dyDescent="0.25">
      <c r="A475" s="1" t="s">
        <v>1213</v>
      </c>
      <c r="J475" t="str">
        <f t="shared" si="31"/>
        <v xml:space="preserve">        36.7        0.43      0.6339      0.1086      0.0729       0.217       1.050       1.403              </v>
      </c>
      <c r="S475">
        <v>36.700000000000003</v>
      </c>
      <c r="T475">
        <v>0.43</v>
      </c>
      <c r="U475">
        <v>0.63390000000000002</v>
      </c>
      <c r="V475">
        <v>0.1086</v>
      </c>
      <c r="W475">
        <v>7.2900000000000006E-2</v>
      </c>
      <c r="X475">
        <v>0.217</v>
      </c>
      <c r="Y475">
        <v>1.05</v>
      </c>
      <c r="Z475">
        <v>1.403</v>
      </c>
    </row>
    <row r="476" spans="1:26" x14ac:dyDescent="0.25">
      <c r="A476" s="1" t="s">
        <v>1214</v>
      </c>
      <c r="J476" t="str">
        <f t="shared" si="31"/>
        <v xml:space="preserve">        39.5        0.46      0.6635      0.1036      0.0716       0.213       1.030       1.339              </v>
      </c>
      <c r="S476">
        <v>39.5</v>
      </c>
      <c r="T476">
        <v>0.46</v>
      </c>
      <c r="U476">
        <v>0.66349999999999998</v>
      </c>
      <c r="V476">
        <v>0.1036</v>
      </c>
      <c r="W476">
        <v>7.1599999999999997E-2</v>
      </c>
      <c r="X476">
        <v>0.21299999999999999</v>
      </c>
      <c r="Y476">
        <v>1.03</v>
      </c>
      <c r="Z476">
        <v>1.339</v>
      </c>
    </row>
    <row r="477" spans="1:26" x14ac:dyDescent="0.25">
      <c r="A477" s="1" t="s">
        <v>1215</v>
      </c>
      <c r="J477" t="str">
        <f t="shared" si="31"/>
        <v xml:space="preserve">        42.3        0.49      0.6905      0.0981      0.0698       0.207       1.004       1.268              </v>
      </c>
      <c r="S477">
        <v>42.3</v>
      </c>
      <c r="T477">
        <v>0.49</v>
      </c>
      <c r="U477">
        <v>0.6905</v>
      </c>
      <c r="V477">
        <v>9.8100000000000007E-2</v>
      </c>
      <c r="W477">
        <v>6.9800000000000001E-2</v>
      </c>
      <c r="X477">
        <v>0.20699999999999999</v>
      </c>
      <c r="Y477">
        <v>1.004</v>
      </c>
      <c r="Z477">
        <v>1.268</v>
      </c>
    </row>
    <row r="478" spans="1:26" x14ac:dyDescent="0.25">
      <c r="A478" s="1" t="s">
        <v>1216</v>
      </c>
      <c r="J478" t="str">
        <f t="shared" si="31"/>
        <v xml:space="preserve">        45.1        0.52      0.7150      0.0921      0.0675       0.200       0.972       1.191              </v>
      </c>
      <c r="S478">
        <v>45.1</v>
      </c>
      <c r="T478">
        <v>0.52</v>
      </c>
      <c r="U478">
        <v>0.71499999999999997</v>
      </c>
      <c r="V478">
        <v>9.2100000000000001E-2</v>
      </c>
      <c r="W478">
        <v>6.7500000000000004E-2</v>
      </c>
      <c r="X478">
        <v>0.2</v>
      </c>
      <c r="Y478">
        <v>0.97199999999999998</v>
      </c>
      <c r="Z478">
        <v>1.1910000000000001</v>
      </c>
    </row>
    <row r="479" spans="1:26" x14ac:dyDescent="0.25">
      <c r="A479" s="1" t="s">
        <v>1217</v>
      </c>
      <c r="J479" t="str">
        <f t="shared" si="31"/>
        <v xml:space="preserve">        48.0        0.56      0.7369      0.0859      0.0649       0.193       0.935       1.111              </v>
      </c>
      <c r="S479">
        <v>48</v>
      </c>
      <c r="T479">
        <v>0.56000000000000005</v>
      </c>
      <c r="U479">
        <v>0.7369</v>
      </c>
      <c r="V479">
        <v>8.5900000000000004E-2</v>
      </c>
      <c r="W479">
        <v>6.4899999999999999E-2</v>
      </c>
      <c r="X479">
        <v>0.193</v>
      </c>
      <c r="Y479">
        <v>0.93500000000000005</v>
      </c>
      <c r="Z479">
        <v>1.111</v>
      </c>
    </row>
    <row r="480" spans="1:26" x14ac:dyDescent="0.25">
      <c r="A480" s="1" t="s">
        <v>1218</v>
      </c>
      <c r="J480" t="str">
        <f t="shared" si="31"/>
        <v xml:space="preserve">        50.8        0.59      0.7562      0.0796      0.0620       0.184       0.893       1.029              </v>
      </c>
      <c r="S480">
        <v>50.8</v>
      </c>
      <c r="T480">
        <v>0.59</v>
      </c>
      <c r="U480">
        <v>0.75619999999999998</v>
      </c>
      <c r="V480">
        <v>7.9600000000000004E-2</v>
      </c>
      <c r="W480">
        <v>6.2E-2</v>
      </c>
      <c r="X480">
        <v>0.184</v>
      </c>
      <c r="Y480">
        <v>0.89300000000000002</v>
      </c>
      <c r="Z480">
        <v>1.0289999999999999</v>
      </c>
    </row>
    <row r="481" spans="1:29" x14ac:dyDescent="0.25">
      <c r="A481" s="1" t="s">
        <v>1219</v>
      </c>
      <c r="J481" t="str">
        <f t="shared" si="31"/>
        <v xml:space="preserve">        53.6        0.62      0.7729      0.0731      0.0588       0.175       0.847       0.945              </v>
      </c>
      <c r="S481">
        <v>53.6</v>
      </c>
      <c r="T481">
        <v>0.62</v>
      </c>
      <c r="U481">
        <v>0.77290000000000003</v>
      </c>
      <c r="V481">
        <v>7.3099999999999998E-2</v>
      </c>
      <c r="W481">
        <v>5.8799999999999998E-2</v>
      </c>
      <c r="X481">
        <v>0.17499999999999999</v>
      </c>
      <c r="Y481">
        <v>0.84699999999999998</v>
      </c>
      <c r="Z481">
        <v>0.94499999999999995</v>
      </c>
    </row>
    <row r="482" spans="1:29" x14ac:dyDescent="0.25">
      <c r="A482" s="1" t="s">
        <v>1220</v>
      </c>
      <c r="J482" t="str">
        <f t="shared" si="31"/>
        <v xml:space="preserve">        56.4        0.65      0.7872      0.0665      0.0553       0.164       0.796       0.859              </v>
      </c>
      <c r="S482">
        <v>56.4</v>
      </c>
      <c r="T482">
        <v>0.65</v>
      </c>
      <c r="U482">
        <v>0.78720000000000001</v>
      </c>
      <c r="V482">
        <v>6.6500000000000004E-2</v>
      </c>
      <c r="W482">
        <v>5.5300000000000002E-2</v>
      </c>
      <c r="X482">
        <v>0.16400000000000001</v>
      </c>
      <c r="Y482">
        <v>0.79600000000000004</v>
      </c>
      <c r="Z482">
        <v>0.85899999999999999</v>
      </c>
    </row>
    <row r="483" spans="1:29" x14ac:dyDescent="0.25">
      <c r="A483" s="1" t="s">
        <v>1221</v>
      </c>
      <c r="J483" t="str">
        <f t="shared" si="31"/>
        <v xml:space="preserve">        59.2        0.69      0.7988      0.0597      0.0514       0.153       0.740       0.771              </v>
      </c>
      <c r="S483">
        <v>59.2</v>
      </c>
      <c r="T483">
        <v>0.69</v>
      </c>
      <c r="U483">
        <v>0.79879999999999995</v>
      </c>
      <c r="V483">
        <v>5.9700000000000003E-2</v>
      </c>
      <c r="W483">
        <v>5.1400000000000001E-2</v>
      </c>
      <c r="X483">
        <v>0.153</v>
      </c>
      <c r="Y483">
        <v>0.74</v>
      </c>
      <c r="Z483">
        <v>0.77100000000000002</v>
      </c>
    </row>
    <row r="484" spans="1:29" x14ac:dyDescent="0.25">
      <c r="A484" s="1" t="s">
        <v>1222</v>
      </c>
      <c r="J484" t="str">
        <f t="shared" si="31"/>
        <v xml:space="preserve">        62.1        0.72      0.8072      0.0527      0.0471       0.140       0.678       0.682              </v>
      </c>
      <c r="S484">
        <v>62.1</v>
      </c>
      <c r="T484">
        <v>0.72</v>
      </c>
      <c r="U484">
        <v>0.80720000000000003</v>
      </c>
      <c r="V484">
        <v>5.2699999999999997E-2</v>
      </c>
      <c r="W484">
        <v>4.7100000000000003E-2</v>
      </c>
      <c r="X484">
        <v>0.14000000000000001</v>
      </c>
      <c r="Y484">
        <v>0.67800000000000005</v>
      </c>
      <c r="Z484">
        <v>0.68200000000000005</v>
      </c>
    </row>
    <row r="485" spans="1:29" x14ac:dyDescent="0.25">
      <c r="A485" s="1" t="s">
        <v>1223</v>
      </c>
      <c r="J485" t="str">
        <f t="shared" si="31"/>
        <v xml:space="preserve">        64.9        0.75      0.8118      0.0457      0.0423       0.126       0.610       0.590              </v>
      </c>
      <c r="S485">
        <v>64.900000000000006</v>
      </c>
      <c r="T485">
        <v>0.75</v>
      </c>
      <c r="U485">
        <v>0.81179999999999997</v>
      </c>
      <c r="V485">
        <v>4.5699999999999998E-2</v>
      </c>
      <c r="W485">
        <v>4.2299999999999997E-2</v>
      </c>
      <c r="X485">
        <v>0.126</v>
      </c>
      <c r="Y485">
        <v>0.61</v>
      </c>
      <c r="Z485">
        <v>0.59</v>
      </c>
    </row>
    <row r="486" spans="1:29" x14ac:dyDescent="0.25">
      <c r="A486" s="1" t="s">
        <v>1224</v>
      </c>
      <c r="J486" t="str">
        <f t="shared" si="31"/>
        <v xml:space="preserve">        67.7        0.79      0.8120      0.0384      0.0371       0.110       0.534       0.496              </v>
      </c>
      <c r="S486">
        <v>67.7</v>
      </c>
      <c r="T486">
        <v>0.79</v>
      </c>
      <c r="U486">
        <v>0.81200000000000006</v>
      </c>
      <c r="V486">
        <v>3.8399999999999997E-2</v>
      </c>
      <c r="W486">
        <v>3.7100000000000001E-2</v>
      </c>
      <c r="X486">
        <v>0.11</v>
      </c>
      <c r="Y486">
        <v>0.53400000000000003</v>
      </c>
      <c r="Z486">
        <v>0.496</v>
      </c>
    </row>
    <row r="487" spans="1:29" x14ac:dyDescent="0.25">
      <c r="A487" s="1" t="s">
        <v>1225</v>
      </c>
      <c r="J487" t="str">
        <f t="shared" si="31"/>
        <v xml:space="preserve">        70.5        0.82      0.8046      0.0309      0.0314       0.093       0.452       0.399              </v>
      </c>
      <c r="S487">
        <v>70.5</v>
      </c>
      <c r="T487">
        <v>0.82</v>
      </c>
      <c r="U487">
        <v>0.80459999999999998</v>
      </c>
      <c r="V487">
        <v>3.09E-2</v>
      </c>
      <c r="W487">
        <v>3.1399999999999997E-2</v>
      </c>
      <c r="X487">
        <v>9.2999999999999999E-2</v>
      </c>
      <c r="Y487">
        <v>0.45200000000000001</v>
      </c>
      <c r="Z487">
        <v>0.39900000000000002</v>
      </c>
    </row>
    <row r="488" spans="1:29" x14ac:dyDescent="0.25">
      <c r="A488" s="1" t="s">
        <v>1226</v>
      </c>
      <c r="J488" t="str">
        <f t="shared" si="31"/>
        <v xml:space="preserve">        73.4        0.85      0.7822      0.0233      0.0254       0.075       0.365       0.301              </v>
      </c>
      <c r="S488">
        <v>73.400000000000006</v>
      </c>
      <c r="T488">
        <v>0.85</v>
      </c>
      <c r="U488">
        <v>0.78220000000000001</v>
      </c>
      <c r="V488">
        <v>2.3300000000000001E-2</v>
      </c>
      <c r="W488">
        <v>2.5399999999999999E-2</v>
      </c>
      <c r="X488">
        <v>7.4999999999999997E-2</v>
      </c>
      <c r="Y488">
        <v>0.36499999999999999</v>
      </c>
      <c r="Z488">
        <v>0.30099999999999999</v>
      </c>
    </row>
    <row r="489" spans="1:29" x14ac:dyDescent="0.25">
      <c r="A489" s="1" t="s">
        <v>1227</v>
      </c>
      <c r="J489" t="str">
        <f t="shared" si="31"/>
        <v xml:space="preserve">        76.2        0.88      0.7301      0.0156      0.0189       0.056       0.273       0.202              </v>
      </c>
      <c r="S489">
        <v>76.2</v>
      </c>
      <c r="T489">
        <v>0.88</v>
      </c>
      <c r="U489">
        <v>0.73009999999999997</v>
      </c>
      <c r="V489">
        <v>1.5599999999999999E-2</v>
      </c>
      <c r="W489">
        <v>1.89E-2</v>
      </c>
      <c r="X489">
        <v>5.6000000000000001E-2</v>
      </c>
      <c r="Y489">
        <v>0.27300000000000002</v>
      </c>
      <c r="Z489">
        <v>0.20200000000000001</v>
      </c>
    </row>
    <row r="490" spans="1:29" x14ac:dyDescent="0.25">
      <c r="A490" s="1" t="s">
        <v>1228</v>
      </c>
      <c r="J490" t="str">
        <f t="shared" si="31"/>
        <v xml:space="preserve">        79.0        0.92      0.5930      0.0079      0.0121       0.036       0.175       0.102              </v>
      </c>
      <c r="S490">
        <v>79</v>
      </c>
      <c r="T490">
        <v>0.92</v>
      </c>
      <c r="U490">
        <v>0.59299999999999997</v>
      </c>
      <c r="V490">
        <v>7.9000000000000008E-3</v>
      </c>
      <c r="W490">
        <v>1.21E-2</v>
      </c>
      <c r="X490">
        <v>3.5999999999999997E-2</v>
      </c>
      <c r="Y490">
        <v>0.17499999999999999</v>
      </c>
      <c r="Z490">
        <v>0.10199999999999999</v>
      </c>
    </row>
    <row r="491" spans="1:29" x14ac:dyDescent="0.25">
      <c r="A491" s="1" t="s">
        <v>1229</v>
      </c>
      <c r="J491" t="str">
        <f t="shared" si="31"/>
        <v xml:space="preserve">        81.8        0.95     -0.0036      0.0000      0.0057       0.017       0.082       0.000              </v>
      </c>
      <c r="S491">
        <v>81.8</v>
      </c>
      <c r="T491">
        <v>0.95</v>
      </c>
      <c r="U491">
        <v>-3.5999999999999999E-3</v>
      </c>
      <c r="V491">
        <v>0</v>
      </c>
      <c r="W491">
        <v>5.7000000000000002E-3</v>
      </c>
      <c r="X491">
        <v>1.7000000000000001E-2</v>
      </c>
      <c r="Y491">
        <v>8.2000000000000003E-2</v>
      </c>
      <c r="Z491">
        <v>0</v>
      </c>
    </row>
    <row r="492" spans="1:29" x14ac:dyDescent="0.25">
      <c r="A492" s="1" t="s">
        <v>1</v>
      </c>
    </row>
    <row r="493" spans="1:29" x14ac:dyDescent="0.25">
      <c r="A493" s="1" t="s">
        <v>1</v>
      </c>
    </row>
    <row r="494" spans="1:29" x14ac:dyDescent="0.25">
      <c r="A494" s="1" t="s">
        <v>1</v>
      </c>
    </row>
    <row r="495" spans="1:29" x14ac:dyDescent="0.25">
      <c r="A495" s="1" t="s">
        <v>413</v>
      </c>
      <c r="J495" s="43" t="s">
        <v>1795</v>
      </c>
      <c r="S495">
        <v>13999</v>
      </c>
      <c r="AC495" t="str">
        <f>CONCATENATE($V$16,$AC$13,S495)</f>
        <v>Ct@13999</v>
      </c>
    </row>
    <row r="496" spans="1:29" x14ac:dyDescent="0.25">
      <c r="A496" s="1" t="s">
        <v>1</v>
      </c>
    </row>
    <row r="497" spans="1:26" x14ac:dyDescent="0.25">
      <c r="A497" s="1" t="s">
        <v>9</v>
      </c>
      <c r="J497" t="str">
        <f>A497</f>
        <v xml:space="preserve">         V          J           Pe         Ct          Cp          PWR         Torque      Thrust             </v>
      </c>
      <c r="S497" t="s">
        <v>662</v>
      </c>
      <c r="T497" t="s">
        <v>663</v>
      </c>
      <c r="U497" t="s">
        <v>664</v>
      </c>
      <c r="V497" t="s">
        <v>665</v>
      </c>
      <c r="W497" t="s">
        <v>666</v>
      </c>
      <c r="X497" t="s">
        <v>667</v>
      </c>
      <c r="Y497" t="s">
        <v>668</v>
      </c>
      <c r="Z497" t="s">
        <v>669</v>
      </c>
    </row>
    <row r="498" spans="1:26" x14ac:dyDescent="0.25">
      <c r="A498" s="1" t="s">
        <v>10</v>
      </c>
      <c r="J498" t="str">
        <f t="shared" ref="J498:J528" si="32">A498</f>
        <v xml:space="preserve">       (mph)     (Adv Ratio)                                       (Hp)        (In-Lbf)     (Lbf)             </v>
      </c>
      <c r="S498" t="s">
        <v>670</v>
      </c>
      <c r="T498" t="s">
        <v>1780</v>
      </c>
      <c r="U498" t="s">
        <v>1781</v>
      </c>
      <c r="V498" t="s">
        <v>672</v>
      </c>
      <c r="W498" t="s">
        <v>673</v>
      </c>
      <c r="X498" t="s">
        <v>674</v>
      </c>
    </row>
    <row r="499" spans="1:26" x14ac:dyDescent="0.25">
      <c r="A499" s="1" t="s">
        <v>1230</v>
      </c>
      <c r="J499" t="str">
        <f t="shared" si="32"/>
        <v xml:space="preserve">         0.0        0.00      0.0000      0.1323      0.0614       0.228       1.026       1.984              </v>
      </c>
      <c r="S499">
        <v>0</v>
      </c>
      <c r="T499">
        <v>0</v>
      </c>
      <c r="U499">
        <v>0</v>
      </c>
      <c r="V499">
        <v>0.1323</v>
      </c>
      <c r="W499">
        <v>6.1400000000000003E-2</v>
      </c>
      <c r="X499">
        <v>0.22800000000000001</v>
      </c>
      <c r="Y499">
        <v>1.026</v>
      </c>
      <c r="Z499">
        <v>1.984</v>
      </c>
    </row>
    <row r="500" spans="1:26" x14ac:dyDescent="0.25">
      <c r="A500" s="1" t="s">
        <v>1231</v>
      </c>
      <c r="J500" t="str">
        <f t="shared" si="32"/>
        <v xml:space="preserve">         3.0        0.03      0.0686      0.1320      0.0629       0.234       1.051       1.979              </v>
      </c>
      <c r="S500">
        <v>3</v>
      </c>
      <c r="T500">
        <v>0.03</v>
      </c>
      <c r="U500">
        <v>6.8599999999999994E-2</v>
      </c>
      <c r="V500">
        <v>0.13200000000000001</v>
      </c>
      <c r="W500">
        <v>6.2899999999999998E-2</v>
      </c>
      <c r="X500">
        <v>0.23400000000000001</v>
      </c>
      <c r="Y500">
        <v>1.0509999999999999</v>
      </c>
      <c r="Z500">
        <v>1.9790000000000001</v>
      </c>
    </row>
    <row r="501" spans="1:26" x14ac:dyDescent="0.25">
      <c r="A501" s="1" t="s">
        <v>1232</v>
      </c>
      <c r="J501" t="str">
        <f t="shared" si="32"/>
        <v xml:space="preserve">         6.1        0.07      0.1336      0.1316      0.0645       0.239       1.077       1.974              </v>
      </c>
      <c r="S501">
        <v>6.1</v>
      </c>
      <c r="T501">
        <v>7.0000000000000007E-2</v>
      </c>
      <c r="U501">
        <v>0.1336</v>
      </c>
      <c r="V501">
        <v>0.13159999999999999</v>
      </c>
      <c r="W501">
        <v>6.4500000000000002E-2</v>
      </c>
      <c r="X501">
        <v>0.23899999999999999</v>
      </c>
      <c r="Y501">
        <v>1.077</v>
      </c>
      <c r="Z501">
        <v>1.974</v>
      </c>
    </row>
    <row r="502" spans="1:26" x14ac:dyDescent="0.25">
      <c r="A502" s="1" t="s">
        <v>1233</v>
      </c>
      <c r="J502" t="str">
        <f t="shared" si="32"/>
        <v xml:space="preserve">         9.1        0.10      0.1949      0.1312      0.0661       0.245       1.103       1.966              </v>
      </c>
      <c r="S502">
        <v>9.1</v>
      </c>
      <c r="T502">
        <v>0.1</v>
      </c>
      <c r="U502">
        <v>0.19489999999999999</v>
      </c>
      <c r="V502">
        <v>0.13120000000000001</v>
      </c>
      <c r="W502">
        <v>6.6100000000000006E-2</v>
      </c>
      <c r="X502">
        <v>0.245</v>
      </c>
      <c r="Y502">
        <v>1.103</v>
      </c>
      <c r="Z502">
        <v>1.966</v>
      </c>
    </row>
    <row r="503" spans="1:26" x14ac:dyDescent="0.25">
      <c r="A503" s="1" t="s">
        <v>1234</v>
      </c>
      <c r="J503" t="str">
        <f t="shared" si="32"/>
        <v xml:space="preserve">        12.1        0.13      0.2527      0.1306      0.0676       0.251       1.130       1.957              </v>
      </c>
      <c r="S503">
        <v>12.1</v>
      </c>
      <c r="T503">
        <v>0.13</v>
      </c>
      <c r="U503">
        <v>0.25269999999999998</v>
      </c>
      <c r="V503">
        <v>0.13059999999999999</v>
      </c>
      <c r="W503">
        <v>6.7599999999999993E-2</v>
      </c>
      <c r="X503">
        <v>0.251</v>
      </c>
      <c r="Y503">
        <v>1.1299999999999999</v>
      </c>
      <c r="Z503">
        <v>1.9570000000000001</v>
      </c>
    </row>
    <row r="504" spans="1:26" x14ac:dyDescent="0.25">
      <c r="A504" s="1" t="s">
        <v>1235</v>
      </c>
      <c r="J504" t="str">
        <f t="shared" si="32"/>
        <v xml:space="preserve">        15.2        0.16      0.3071      0.1298      0.0692       0.257       1.155       1.946              </v>
      </c>
      <c r="S504">
        <v>15.2</v>
      </c>
      <c r="T504">
        <v>0.16</v>
      </c>
      <c r="U504">
        <v>0.30709999999999998</v>
      </c>
      <c r="V504">
        <v>0.1298</v>
      </c>
      <c r="W504">
        <v>6.9199999999999998E-2</v>
      </c>
      <c r="X504">
        <v>0.25700000000000001</v>
      </c>
      <c r="Y504">
        <v>1.155</v>
      </c>
      <c r="Z504">
        <v>1.946</v>
      </c>
    </row>
    <row r="505" spans="1:26" x14ac:dyDescent="0.25">
      <c r="A505" s="1" t="s">
        <v>1236</v>
      </c>
      <c r="J505" t="str">
        <f t="shared" si="32"/>
        <v xml:space="preserve">        18.2        0.20      0.3581      0.1288      0.0706       0.262       1.180       1.931              </v>
      </c>
      <c r="S505">
        <v>18.2</v>
      </c>
      <c r="T505">
        <v>0.2</v>
      </c>
      <c r="U505">
        <v>0.35809999999999997</v>
      </c>
      <c r="V505">
        <v>0.1288</v>
      </c>
      <c r="W505">
        <v>7.0599999999999996E-2</v>
      </c>
      <c r="X505">
        <v>0.26200000000000001</v>
      </c>
      <c r="Y505">
        <v>1.18</v>
      </c>
      <c r="Z505">
        <v>1.931</v>
      </c>
    </row>
    <row r="506" spans="1:26" x14ac:dyDescent="0.25">
      <c r="A506" s="1" t="s">
        <v>1237</v>
      </c>
      <c r="J506" t="str">
        <f t="shared" si="32"/>
        <v xml:space="preserve">        21.3        0.23      0.4061      0.1275      0.0719       0.267       1.201       1.911              </v>
      </c>
      <c r="S506">
        <v>21.3</v>
      </c>
      <c r="T506">
        <v>0.23</v>
      </c>
      <c r="U506">
        <v>0.40610000000000002</v>
      </c>
      <c r="V506">
        <v>0.1275</v>
      </c>
      <c r="W506">
        <v>7.1900000000000006E-2</v>
      </c>
      <c r="X506">
        <v>0.26700000000000002</v>
      </c>
      <c r="Y506">
        <v>1.2010000000000001</v>
      </c>
      <c r="Z506">
        <v>1.911</v>
      </c>
    </row>
    <row r="507" spans="1:26" x14ac:dyDescent="0.25">
      <c r="A507" s="1" t="s">
        <v>1238</v>
      </c>
      <c r="J507" t="str">
        <f t="shared" si="32"/>
        <v xml:space="preserve">        24.3        0.26      0.4510      0.1257      0.0730       0.271       1.219       1.884              </v>
      </c>
      <c r="S507">
        <v>24.3</v>
      </c>
      <c r="T507">
        <v>0.26</v>
      </c>
      <c r="U507">
        <v>0.45100000000000001</v>
      </c>
      <c r="V507">
        <v>0.12570000000000001</v>
      </c>
      <c r="W507">
        <v>7.2999999999999995E-2</v>
      </c>
      <c r="X507">
        <v>0.27100000000000002</v>
      </c>
      <c r="Y507">
        <v>1.2190000000000001</v>
      </c>
      <c r="Z507">
        <v>1.8839999999999999</v>
      </c>
    </row>
    <row r="508" spans="1:26" x14ac:dyDescent="0.25">
      <c r="A508" s="1" t="s">
        <v>1239</v>
      </c>
      <c r="J508" t="str">
        <f t="shared" si="32"/>
        <v xml:space="preserve">        27.3        0.29      0.4932      0.1234      0.0737       0.273       1.231       1.850              </v>
      </c>
      <c r="S508">
        <v>27.3</v>
      </c>
      <c r="T508">
        <v>0.28999999999999998</v>
      </c>
      <c r="U508">
        <v>0.49320000000000003</v>
      </c>
      <c r="V508">
        <v>0.1234</v>
      </c>
      <c r="W508">
        <v>7.3700000000000002E-2</v>
      </c>
      <c r="X508">
        <v>0.27300000000000002</v>
      </c>
      <c r="Y508">
        <v>1.2310000000000001</v>
      </c>
      <c r="Z508">
        <v>1.85</v>
      </c>
    </row>
    <row r="509" spans="1:26" x14ac:dyDescent="0.25">
      <c r="A509" s="1" t="s">
        <v>1240</v>
      </c>
      <c r="J509" t="str">
        <f t="shared" si="32"/>
        <v xml:space="preserve">        30.4        0.33      0.5327      0.1206      0.0741       0.275       1.238       1.808              </v>
      </c>
      <c r="S509">
        <v>30.4</v>
      </c>
      <c r="T509">
        <v>0.33</v>
      </c>
      <c r="U509">
        <v>0.53269999999999995</v>
      </c>
      <c r="V509">
        <v>0.1206</v>
      </c>
      <c r="W509">
        <v>7.4099999999999999E-2</v>
      </c>
      <c r="X509">
        <v>0.27500000000000002</v>
      </c>
      <c r="Y509">
        <v>1.238</v>
      </c>
      <c r="Z509">
        <v>1.8080000000000001</v>
      </c>
    </row>
    <row r="510" spans="1:26" x14ac:dyDescent="0.25">
      <c r="A510" s="1" t="s">
        <v>1241</v>
      </c>
      <c r="J510" t="str">
        <f t="shared" si="32"/>
        <v xml:space="preserve">        33.4        0.36      0.5695      0.1173      0.0741       0.275       1.238       1.758              </v>
      </c>
      <c r="S510">
        <v>33.4</v>
      </c>
      <c r="T510">
        <v>0.36</v>
      </c>
      <c r="U510">
        <v>0.56950000000000001</v>
      </c>
      <c r="V510">
        <v>0.1173</v>
      </c>
      <c r="W510">
        <v>7.4099999999999999E-2</v>
      </c>
      <c r="X510">
        <v>0.27500000000000002</v>
      </c>
      <c r="Y510">
        <v>1.238</v>
      </c>
      <c r="Z510">
        <v>1.758</v>
      </c>
    </row>
    <row r="511" spans="1:26" x14ac:dyDescent="0.25">
      <c r="A511" s="1" t="s">
        <v>1242</v>
      </c>
      <c r="J511" t="str">
        <f t="shared" si="32"/>
        <v xml:space="preserve">        36.4        0.39      0.6039      0.1134      0.0738       0.274       1.232       1.700              </v>
      </c>
      <c r="S511">
        <v>36.4</v>
      </c>
      <c r="T511">
        <v>0.39</v>
      </c>
      <c r="U511">
        <v>0.60389999999999999</v>
      </c>
      <c r="V511">
        <v>0.1134</v>
      </c>
      <c r="W511">
        <v>7.3800000000000004E-2</v>
      </c>
      <c r="X511">
        <v>0.27400000000000002</v>
      </c>
      <c r="Y511">
        <v>1.232</v>
      </c>
      <c r="Z511">
        <v>1.7</v>
      </c>
    </row>
    <row r="512" spans="1:26" x14ac:dyDescent="0.25">
      <c r="A512" s="1" t="s">
        <v>1243</v>
      </c>
      <c r="J512" t="str">
        <f t="shared" si="32"/>
        <v xml:space="preserve">        39.5        0.43      0.6360      0.1090      0.0729       0.271       1.218       1.634              </v>
      </c>
      <c r="S512">
        <v>39.5</v>
      </c>
      <c r="T512">
        <v>0.43</v>
      </c>
      <c r="U512">
        <v>0.63600000000000001</v>
      </c>
      <c r="V512">
        <v>0.109</v>
      </c>
      <c r="W512">
        <v>7.2900000000000006E-2</v>
      </c>
      <c r="X512">
        <v>0.27100000000000002</v>
      </c>
      <c r="Y512">
        <v>1.218</v>
      </c>
      <c r="Z512">
        <v>1.6339999999999999</v>
      </c>
    </row>
    <row r="513" spans="1:26" x14ac:dyDescent="0.25">
      <c r="A513" s="1" t="s">
        <v>1244</v>
      </c>
      <c r="J513" t="str">
        <f t="shared" si="32"/>
        <v xml:space="preserve">        42.5        0.46      0.6657      0.1040      0.0716       0.266       1.195       1.559              </v>
      </c>
      <c r="S513">
        <v>42.5</v>
      </c>
      <c r="T513">
        <v>0.46</v>
      </c>
      <c r="U513">
        <v>0.66569999999999996</v>
      </c>
      <c r="V513">
        <v>0.104</v>
      </c>
      <c r="W513">
        <v>7.1599999999999997E-2</v>
      </c>
      <c r="X513">
        <v>0.26600000000000001</v>
      </c>
      <c r="Y513">
        <v>1.1950000000000001</v>
      </c>
      <c r="Z513">
        <v>1.5589999999999999</v>
      </c>
    </row>
    <row r="514" spans="1:26" x14ac:dyDescent="0.25">
      <c r="A514" s="1" t="s">
        <v>1245</v>
      </c>
      <c r="J514" t="str">
        <f t="shared" si="32"/>
        <v xml:space="preserve">        45.6        0.49      0.6931      0.0985      0.0698       0.259       1.165       1.476              </v>
      </c>
      <c r="S514">
        <v>45.6</v>
      </c>
      <c r="T514">
        <v>0.49</v>
      </c>
      <c r="U514">
        <v>0.69310000000000005</v>
      </c>
      <c r="V514">
        <v>9.8500000000000004E-2</v>
      </c>
      <c r="W514">
        <v>6.9800000000000001E-2</v>
      </c>
      <c r="X514">
        <v>0.25900000000000001</v>
      </c>
      <c r="Y514">
        <v>1.165</v>
      </c>
      <c r="Z514">
        <v>1.476</v>
      </c>
    </row>
    <row r="515" spans="1:26" x14ac:dyDescent="0.25">
      <c r="A515" s="1" t="s">
        <v>1246</v>
      </c>
      <c r="J515" t="str">
        <f t="shared" si="32"/>
        <v xml:space="preserve">        48.6        0.52      0.7181      0.0925      0.0675       0.250       1.127       1.387              </v>
      </c>
      <c r="S515">
        <v>48.6</v>
      </c>
      <c r="T515">
        <v>0.52</v>
      </c>
      <c r="U515">
        <v>0.71809999999999996</v>
      </c>
      <c r="V515">
        <v>9.2499999999999999E-2</v>
      </c>
      <c r="W515">
        <v>6.7500000000000004E-2</v>
      </c>
      <c r="X515">
        <v>0.25</v>
      </c>
      <c r="Y515">
        <v>1.127</v>
      </c>
      <c r="Z515">
        <v>1.387</v>
      </c>
    </row>
    <row r="516" spans="1:26" x14ac:dyDescent="0.25">
      <c r="A516" s="1" t="s">
        <v>1247</v>
      </c>
      <c r="J516" t="str">
        <f t="shared" si="32"/>
        <v xml:space="preserve">        51.6        0.56      0.7406      0.0863      0.0648       0.241       1.083       1.294              </v>
      </c>
      <c r="S516">
        <v>51.6</v>
      </c>
      <c r="T516">
        <v>0.56000000000000005</v>
      </c>
      <c r="U516">
        <v>0.74060000000000004</v>
      </c>
      <c r="V516">
        <v>8.6300000000000002E-2</v>
      </c>
      <c r="W516">
        <v>6.4799999999999996E-2</v>
      </c>
      <c r="X516">
        <v>0.24099999999999999</v>
      </c>
      <c r="Y516">
        <v>1.083</v>
      </c>
      <c r="Z516">
        <v>1.294</v>
      </c>
    </row>
    <row r="517" spans="1:26" x14ac:dyDescent="0.25">
      <c r="A517" s="1" t="s">
        <v>1248</v>
      </c>
      <c r="J517" t="str">
        <f t="shared" si="32"/>
        <v xml:space="preserve">        54.7        0.59      0.7607      0.0799      0.0619       0.230       1.034       1.198              </v>
      </c>
      <c r="S517">
        <v>54.7</v>
      </c>
      <c r="T517">
        <v>0.59</v>
      </c>
      <c r="U517">
        <v>0.76070000000000004</v>
      </c>
      <c r="V517">
        <v>7.9899999999999999E-2</v>
      </c>
      <c r="W517">
        <v>6.1899999999999997E-2</v>
      </c>
      <c r="X517">
        <v>0.23</v>
      </c>
      <c r="Y517">
        <v>1.034</v>
      </c>
      <c r="Z517">
        <v>1.198</v>
      </c>
    </row>
    <row r="518" spans="1:26" x14ac:dyDescent="0.25">
      <c r="A518" s="1" t="s">
        <v>1249</v>
      </c>
      <c r="J518" t="str">
        <f t="shared" si="32"/>
        <v xml:space="preserve">        57.7        0.62      0.7781      0.0734      0.0587       0.218       0.980       1.101              </v>
      </c>
      <c r="S518">
        <v>57.7</v>
      </c>
      <c r="T518">
        <v>0.62</v>
      </c>
      <c r="U518">
        <v>0.77810000000000001</v>
      </c>
      <c r="V518">
        <v>7.3400000000000007E-2</v>
      </c>
      <c r="W518">
        <v>5.8700000000000002E-2</v>
      </c>
      <c r="X518">
        <v>0.218</v>
      </c>
      <c r="Y518">
        <v>0.98</v>
      </c>
      <c r="Z518">
        <v>1.101</v>
      </c>
    </row>
    <row r="519" spans="1:26" x14ac:dyDescent="0.25">
      <c r="A519" s="1" t="s">
        <v>1250</v>
      </c>
      <c r="J519" t="str">
        <f t="shared" si="32"/>
        <v xml:space="preserve">        60.7        0.65      0.7930      0.0667      0.0551       0.204       0.920       1.001              </v>
      </c>
      <c r="S519">
        <v>60.7</v>
      </c>
      <c r="T519">
        <v>0.65</v>
      </c>
      <c r="U519">
        <v>0.79300000000000004</v>
      </c>
      <c r="V519">
        <v>6.6699999999999995E-2</v>
      </c>
      <c r="W519">
        <v>5.5100000000000003E-2</v>
      </c>
      <c r="X519">
        <v>0.20399999999999999</v>
      </c>
      <c r="Y519">
        <v>0.92</v>
      </c>
      <c r="Z519">
        <v>1.0009999999999999</v>
      </c>
    </row>
    <row r="520" spans="1:26" x14ac:dyDescent="0.25">
      <c r="A520" s="1" t="s">
        <v>1251</v>
      </c>
      <c r="J520" t="str">
        <f t="shared" si="32"/>
        <v xml:space="preserve">        63.8        0.69      0.8053      0.0599      0.0511       0.190       0.854       0.898              </v>
      </c>
      <c r="S520">
        <v>63.8</v>
      </c>
      <c r="T520">
        <v>0.69</v>
      </c>
      <c r="U520">
        <v>0.80530000000000002</v>
      </c>
      <c r="V520">
        <v>5.9900000000000002E-2</v>
      </c>
      <c r="W520">
        <v>5.11E-2</v>
      </c>
      <c r="X520">
        <v>0.19</v>
      </c>
      <c r="Y520">
        <v>0.85399999999999998</v>
      </c>
      <c r="Z520">
        <v>0.89800000000000002</v>
      </c>
    </row>
    <row r="521" spans="1:26" x14ac:dyDescent="0.25">
      <c r="A521" s="1" t="s">
        <v>1252</v>
      </c>
      <c r="J521" t="str">
        <f t="shared" si="32"/>
        <v xml:space="preserve">        66.8        0.72      0.8142      0.0529      0.0468       0.174       0.782       0.793              </v>
      </c>
      <c r="S521">
        <v>66.8</v>
      </c>
      <c r="T521">
        <v>0.72</v>
      </c>
      <c r="U521">
        <v>0.81420000000000003</v>
      </c>
      <c r="V521">
        <v>5.2900000000000003E-2</v>
      </c>
      <c r="W521">
        <v>4.6800000000000001E-2</v>
      </c>
      <c r="X521">
        <v>0.17399999999999999</v>
      </c>
      <c r="Y521">
        <v>0.78200000000000003</v>
      </c>
      <c r="Z521">
        <v>0.79300000000000004</v>
      </c>
    </row>
    <row r="522" spans="1:26" x14ac:dyDescent="0.25">
      <c r="A522" s="1" t="s">
        <v>1253</v>
      </c>
      <c r="J522" t="str">
        <f t="shared" si="32"/>
        <v xml:space="preserve">        69.9        0.75      0.8189      0.0458      0.0421       0.156       0.703       0.687              </v>
      </c>
      <c r="S522">
        <v>69.900000000000006</v>
      </c>
      <c r="T522">
        <v>0.75</v>
      </c>
      <c r="U522">
        <v>0.81889999999999996</v>
      </c>
      <c r="V522">
        <v>4.58E-2</v>
      </c>
      <c r="W522">
        <v>4.2099999999999999E-2</v>
      </c>
      <c r="X522">
        <v>0.156</v>
      </c>
      <c r="Y522">
        <v>0.70299999999999996</v>
      </c>
      <c r="Z522">
        <v>0.68700000000000006</v>
      </c>
    </row>
    <row r="523" spans="1:26" x14ac:dyDescent="0.25">
      <c r="A523" s="1" t="s">
        <v>1254</v>
      </c>
      <c r="J523" t="str">
        <f t="shared" si="32"/>
        <v xml:space="preserve">        72.9        0.79      0.8193      0.0385      0.0369       0.137       0.617       0.577              </v>
      </c>
      <c r="S523">
        <v>72.900000000000006</v>
      </c>
      <c r="T523">
        <v>0.79</v>
      </c>
      <c r="U523">
        <v>0.81930000000000003</v>
      </c>
      <c r="V523">
        <v>3.85E-2</v>
      </c>
      <c r="W523">
        <v>3.6900000000000002E-2</v>
      </c>
      <c r="X523">
        <v>0.13700000000000001</v>
      </c>
      <c r="Y523">
        <v>0.61699999999999999</v>
      </c>
      <c r="Z523">
        <v>0.57699999999999996</v>
      </c>
    </row>
    <row r="524" spans="1:26" x14ac:dyDescent="0.25">
      <c r="A524" s="1" t="s">
        <v>1255</v>
      </c>
      <c r="J524" t="str">
        <f t="shared" si="32"/>
        <v xml:space="preserve">        75.9        0.82      0.8119      0.0310      0.0313       0.116       0.522       0.465              </v>
      </c>
      <c r="S524">
        <v>75.900000000000006</v>
      </c>
      <c r="T524">
        <v>0.82</v>
      </c>
      <c r="U524">
        <v>0.81189999999999996</v>
      </c>
      <c r="V524">
        <v>3.1E-2</v>
      </c>
      <c r="W524">
        <v>3.1300000000000001E-2</v>
      </c>
      <c r="X524">
        <v>0.11600000000000001</v>
      </c>
      <c r="Y524">
        <v>0.52200000000000002</v>
      </c>
      <c r="Z524">
        <v>0.46500000000000002</v>
      </c>
    </row>
    <row r="525" spans="1:26" x14ac:dyDescent="0.25">
      <c r="A525" s="1" t="s">
        <v>1256</v>
      </c>
      <c r="J525" t="str">
        <f t="shared" si="32"/>
        <v xml:space="preserve">        79.0        0.85      0.7893      0.0234      0.0252       0.094       0.422       0.351              </v>
      </c>
      <c r="S525">
        <v>79</v>
      </c>
      <c r="T525">
        <v>0.85</v>
      </c>
      <c r="U525">
        <v>0.7893</v>
      </c>
      <c r="V525">
        <v>2.3400000000000001E-2</v>
      </c>
      <c r="W525">
        <v>2.52E-2</v>
      </c>
      <c r="X525">
        <v>9.4E-2</v>
      </c>
      <c r="Y525">
        <v>0.42199999999999999</v>
      </c>
      <c r="Z525">
        <v>0.35099999999999998</v>
      </c>
    </row>
    <row r="526" spans="1:26" x14ac:dyDescent="0.25">
      <c r="A526" s="1" t="s">
        <v>1257</v>
      </c>
      <c r="J526" t="str">
        <f t="shared" si="32"/>
        <v xml:space="preserve">        82.0        0.88      0.7369      0.0157      0.0188       0.070       0.314       0.235              </v>
      </c>
      <c r="S526">
        <v>82</v>
      </c>
      <c r="T526">
        <v>0.88</v>
      </c>
      <c r="U526">
        <v>0.7369</v>
      </c>
      <c r="V526">
        <v>1.5699999999999999E-2</v>
      </c>
      <c r="W526">
        <v>1.8800000000000001E-2</v>
      </c>
      <c r="X526">
        <v>7.0000000000000007E-2</v>
      </c>
      <c r="Y526">
        <v>0.314</v>
      </c>
      <c r="Z526">
        <v>0.23499999999999999</v>
      </c>
    </row>
    <row r="527" spans="1:26" x14ac:dyDescent="0.25">
      <c r="A527" s="1" t="s">
        <v>1258</v>
      </c>
      <c r="J527" t="str">
        <f t="shared" si="32"/>
        <v xml:space="preserve">        85.0        0.92      0.5998      0.0079      0.0121       0.045       0.202       0.119              </v>
      </c>
      <c r="S527">
        <v>85</v>
      </c>
      <c r="T527">
        <v>0.92</v>
      </c>
      <c r="U527">
        <v>0.5998</v>
      </c>
      <c r="V527">
        <v>7.9000000000000008E-3</v>
      </c>
      <c r="W527">
        <v>1.21E-2</v>
      </c>
      <c r="X527">
        <v>4.4999999999999998E-2</v>
      </c>
      <c r="Y527">
        <v>0.20200000000000001</v>
      </c>
      <c r="Z527">
        <v>0.11899999999999999</v>
      </c>
    </row>
    <row r="528" spans="1:26" x14ac:dyDescent="0.25">
      <c r="A528" s="1" t="s">
        <v>1259</v>
      </c>
      <c r="J528" t="str">
        <f t="shared" si="32"/>
        <v xml:space="preserve">        88.1        0.95     -0.0481     -0.0003      0.0054       0.020       0.090      -0.004              </v>
      </c>
      <c r="S528">
        <v>88.1</v>
      </c>
      <c r="T528">
        <v>0.95</v>
      </c>
      <c r="U528">
        <v>-4.8099999999999997E-2</v>
      </c>
      <c r="V528">
        <v>-2.9999999999999997E-4</v>
      </c>
      <c r="W528">
        <v>5.4000000000000003E-3</v>
      </c>
      <c r="X528">
        <v>0.02</v>
      </c>
      <c r="Y528">
        <v>0.09</v>
      </c>
      <c r="Z528">
        <v>-4.0000000000000001E-3</v>
      </c>
    </row>
    <row r="529" spans="1:29" x14ac:dyDescent="0.25">
      <c r="A529" s="1" t="s">
        <v>1</v>
      </c>
    </row>
    <row r="530" spans="1:29" x14ac:dyDescent="0.25">
      <c r="A530" s="1" t="s">
        <v>1</v>
      </c>
    </row>
    <row r="531" spans="1:29" x14ac:dyDescent="0.25">
      <c r="A531" s="1" t="s">
        <v>1</v>
      </c>
    </row>
    <row r="532" spans="1:29" x14ac:dyDescent="0.25">
      <c r="A532" s="1" t="s">
        <v>444</v>
      </c>
      <c r="J532" s="43" t="s">
        <v>1796</v>
      </c>
      <c r="S532">
        <v>15000</v>
      </c>
      <c r="AC532" t="str">
        <f>CONCATENATE($V$16,$AC$13,S532)</f>
        <v>Ct@15000</v>
      </c>
    </row>
    <row r="533" spans="1:29" x14ac:dyDescent="0.25">
      <c r="A533" s="1" t="s">
        <v>1</v>
      </c>
    </row>
    <row r="534" spans="1:29" x14ac:dyDescent="0.25">
      <c r="A534" s="1" t="s">
        <v>9</v>
      </c>
      <c r="J534" t="str">
        <f>A534</f>
        <v xml:space="preserve">         V          J           Pe         Ct          Cp          PWR         Torque      Thrust             </v>
      </c>
      <c r="S534" t="s">
        <v>662</v>
      </c>
      <c r="T534" t="s">
        <v>663</v>
      </c>
      <c r="U534" t="s">
        <v>664</v>
      </c>
      <c r="V534" t="s">
        <v>665</v>
      </c>
      <c r="W534" t="s">
        <v>666</v>
      </c>
      <c r="X534" t="s">
        <v>667</v>
      </c>
      <c r="Y534" t="s">
        <v>668</v>
      </c>
      <c r="Z534" t="s">
        <v>669</v>
      </c>
    </row>
    <row r="535" spans="1:29" x14ac:dyDescent="0.25">
      <c r="A535" s="1" t="s">
        <v>10</v>
      </c>
      <c r="J535" t="str">
        <f t="shared" ref="J535:J565" si="33">A535</f>
        <v xml:space="preserve">       (mph)     (Adv Ratio)                                       (Hp)        (In-Lbf)     (Lbf)             </v>
      </c>
      <c r="S535" t="s">
        <v>670</v>
      </c>
      <c r="T535" t="s">
        <v>1780</v>
      </c>
      <c r="U535" t="s">
        <v>1781</v>
      </c>
      <c r="V535" t="s">
        <v>672</v>
      </c>
      <c r="W535" t="s">
        <v>673</v>
      </c>
      <c r="X535" t="s">
        <v>674</v>
      </c>
    </row>
    <row r="536" spans="1:29" x14ac:dyDescent="0.25">
      <c r="A536" s="1" t="s">
        <v>1260</v>
      </c>
      <c r="J536" t="str">
        <f t="shared" si="33"/>
        <v xml:space="preserve">         0.0        0.00      0.0000      0.1324      0.0606       0.277       1.162       2.278              </v>
      </c>
      <c r="S536">
        <v>0</v>
      </c>
      <c r="T536">
        <v>0</v>
      </c>
      <c r="U536">
        <v>0</v>
      </c>
      <c r="V536">
        <v>0.13239999999999999</v>
      </c>
      <c r="W536">
        <v>6.0600000000000001E-2</v>
      </c>
      <c r="X536">
        <v>0.27700000000000002</v>
      </c>
      <c r="Y536">
        <v>1.1619999999999999</v>
      </c>
      <c r="Z536">
        <v>2.278</v>
      </c>
    </row>
    <row r="537" spans="1:29" x14ac:dyDescent="0.25">
      <c r="A537" s="1" t="s">
        <v>1261</v>
      </c>
      <c r="J537" t="str">
        <f t="shared" si="33"/>
        <v xml:space="preserve">         3.3        0.03      0.0694      0.1321      0.0622       0.284       1.193       2.273              </v>
      </c>
      <c r="S537">
        <v>3.3</v>
      </c>
      <c r="T537">
        <v>0.03</v>
      </c>
      <c r="U537">
        <v>6.9400000000000003E-2</v>
      </c>
      <c r="V537">
        <v>0.1321</v>
      </c>
      <c r="W537">
        <v>6.2199999999999998E-2</v>
      </c>
      <c r="X537">
        <v>0.28399999999999997</v>
      </c>
      <c r="Y537">
        <v>1.1930000000000001</v>
      </c>
      <c r="Z537">
        <v>2.2730000000000001</v>
      </c>
    </row>
    <row r="538" spans="1:29" x14ac:dyDescent="0.25">
      <c r="A538" s="1" t="s">
        <v>1262</v>
      </c>
      <c r="J538" t="str">
        <f t="shared" si="33"/>
        <v xml:space="preserve">         6.5        0.07      0.1349      0.1317      0.0638       0.291       1.224       2.267              </v>
      </c>
      <c r="S538">
        <v>6.5</v>
      </c>
      <c r="T538">
        <v>7.0000000000000007E-2</v>
      </c>
      <c r="U538">
        <v>0.13489999999999999</v>
      </c>
      <c r="V538">
        <v>0.13170000000000001</v>
      </c>
      <c r="W538">
        <v>6.3799999999999996E-2</v>
      </c>
      <c r="X538">
        <v>0.29099999999999998</v>
      </c>
      <c r="Y538">
        <v>1.224</v>
      </c>
      <c r="Z538">
        <v>2.2669999999999999</v>
      </c>
    </row>
    <row r="539" spans="1:29" x14ac:dyDescent="0.25">
      <c r="A539" s="1" t="s">
        <v>1263</v>
      </c>
      <c r="J539" t="str">
        <f t="shared" si="33"/>
        <v xml:space="preserve">         9.8        0.10      0.1966      0.1313      0.0655       0.299       1.256       2.259              </v>
      </c>
      <c r="S539">
        <v>9.8000000000000007</v>
      </c>
      <c r="T539">
        <v>0.1</v>
      </c>
      <c r="U539">
        <v>0.1966</v>
      </c>
      <c r="V539">
        <v>0.1313</v>
      </c>
      <c r="W539">
        <v>6.5500000000000003E-2</v>
      </c>
      <c r="X539">
        <v>0.29899999999999999</v>
      </c>
      <c r="Y539">
        <v>1.256</v>
      </c>
      <c r="Z539">
        <v>2.2589999999999999</v>
      </c>
    </row>
    <row r="540" spans="1:29" x14ac:dyDescent="0.25">
      <c r="A540" s="1" t="s">
        <v>1264</v>
      </c>
      <c r="J540" t="str">
        <f t="shared" si="33"/>
        <v xml:space="preserve">        13.0        0.13      0.2546      0.1307      0.0671       0.306       1.287       2.249              </v>
      </c>
      <c r="S540">
        <v>13</v>
      </c>
      <c r="T540">
        <v>0.13</v>
      </c>
      <c r="U540">
        <v>0.25459999999999999</v>
      </c>
      <c r="V540">
        <v>0.13070000000000001</v>
      </c>
      <c r="W540">
        <v>6.7100000000000007E-2</v>
      </c>
      <c r="X540">
        <v>0.30599999999999999</v>
      </c>
      <c r="Y540">
        <v>1.2869999999999999</v>
      </c>
      <c r="Z540">
        <v>2.2490000000000001</v>
      </c>
    </row>
    <row r="541" spans="1:29" x14ac:dyDescent="0.25">
      <c r="A541" s="1" t="s">
        <v>1265</v>
      </c>
      <c r="J541" t="str">
        <f t="shared" si="33"/>
        <v xml:space="preserve">        16.3        0.16      0.3090      0.1300      0.0687       0.314       1.318       2.237              </v>
      </c>
      <c r="S541">
        <v>16.3</v>
      </c>
      <c r="T541">
        <v>0.16</v>
      </c>
      <c r="U541">
        <v>0.309</v>
      </c>
      <c r="V541">
        <v>0.13</v>
      </c>
      <c r="W541">
        <v>6.8699999999999997E-2</v>
      </c>
      <c r="X541">
        <v>0.314</v>
      </c>
      <c r="Y541">
        <v>1.3180000000000001</v>
      </c>
      <c r="Z541">
        <v>2.2370000000000001</v>
      </c>
    </row>
    <row r="542" spans="1:29" x14ac:dyDescent="0.25">
      <c r="A542" s="1" t="s">
        <v>1266</v>
      </c>
      <c r="J542" t="str">
        <f t="shared" si="33"/>
        <v xml:space="preserve">        19.5        0.20      0.3601      0.1290      0.0703       0.321       1.348       2.221              </v>
      </c>
      <c r="S542">
        <v>19.5</v>
      </c>
      <c r="T542">
        <v>0.2</v>
      </c>
      <c r="U542">
        <v>0.36009999999999998</v>
      </c>
      <c r="V542">
        <v>0.129</v>
      </c>
      <c r="W542">
        <v>7.0300000000000001E-2</v>
      </c>
      <c r="X542">
        <v>0.32100000000000001</v>
      </c>
      <c r="Y542">
        <v>1.3480000000000001</v>
      </c>
      <c r="Z542">
        <v>2.2210000000000001</v>
      </c>
    </row>
    <row r="543" spans="1:29" x14ac:dyDescent="0.25">
      <c r="A543" s="1" t="s">
        <v>1267</v>
      </c>
      <c r="J543" t="str">
        <f t="shared" si="33"/>
        <v xml:space="preserve">        22.8        0.23      0.4079      0.1278      0.0717       0.327       1.374       2.199              </v>
      </c>
      <c r="S543">
        <v>22.8</v>
      </c>
      <c r="T543">
        <v>0.23</v>
      </c>
      <c r="U543">
        <v>0.40789999999999998</v>
      </c>
      <c r="V543">
        <v>0.1278</v>
      </c>
      <c r="W543">
        <v>7.17E-2</v>
      </c>
      <c r="X543">
        <v>0.32700000000000001</v>
      </c>
      <c r="Y543">
        <v>1.3740000000000001</v>
      </c>
      <c r="Z543">
        <v>2.1989999999999998</v>
      </c>
    </row>
    <row r="544" spans="1:29" x14ac:dyDescent="0.25">
      <c r="A544" s="1" t="s">
        <v>1268</v>
      </c>
      <c r="J544" t="str">
        <f t="shared" si="33"/>
        <v xml:space="preserve">        26.0        0.26      0.4527      0.1261      0.0728       0.332       1.396       2.170              </v>
      </c>
      <c r="S544">
        <v>26</v>
      </c>
      <c r="T544">
        <v>0.26</v>
      </c>
      <c r="U544">
        <v>0.45269999999999999</v>
      </c>
      <c r="V544">
        <v>0.12609999999999999</v>
      </c>
      <c r="W544">
        <v>7.2800000000000004E-2</v>
      </c>
      <c r="X544">
        <v>0.33200000000000002</v>
      </c>
      <c r="Y544">
        <v>1.3959999999999999</v>
      </c>
      <c r="Z544">
        <v>2.17</v>
      </c>
    </row>
    <row r="545" spans="1:26" x14ac:dyDescent="0.25">
      <c r="A545" s="1" t="s">
        <v>1269</v>
      </c>
      <c r="J545" t="str">
        <f t="shared" si="33"/>
        <v xml:space="preserve">        29.3        0.29      0.4948      0.1239      0.0736       0.336       1.412       2.131              </v>
      </c>
      <c r="S545">
        <v>29.3</v>
      </c>
      <c r="T545">
        <v>0.28999999999999998</v>
      </c>
      <c r="U545">
        <v>0.49480000000000002</v>
      </c>
      <c r="V545">
        <v>0.1239</v>
      </c>
      <c r="W545">
        <v>7.3599999999999999E-2</v>
      </c>
      <c r="X545">
        <v>0.33600000000000002</v>
      </c>
      <c r="Y545">
        <v>1.4119999999999999</v>
      </c>
      <c r="Z545">
        <v>2.1309999999999998</v>
      </c>
    </row>
    <row r="546" spans="1:26" x14ac:dyDescent="0.25">
      <c r="A546" s="1" t="s">
        <v>1270</v>
      </c>
      <c r="J546" t="str">
        <f t="shared" si="33"/>
        <v xml:space="preserve">        32.5        0.33      0.5341      0.1211      0.0741       0.338       1.421       2.084              </v>
      </c>
      <c r="S546">
        <v>32.5</v>
      </c>
      <c r="T546">
        <v>0.33</v>
      </c>
      <c r="U546">
        <v>0.53410000000000002</v>
      </c>
      <c r="V546">
        <v>0.1211</v>
      </c>
      <c r="W546">
        <v>7.4099999999999999E-2</v>
      </c>
      <c r="X546">
        <v>0.33800000000000002</v>
      </c>
      <c r="Y546">
        <v>1.421</v>
      </c>
      <c r="Z546">
        <v>2.0840000000000001</v>
      </c>
    </row>
    <row r="547" spans="1:26" x14ac:dyDescent="0.25">
      <c r="A547" s="1" t="s">
        <v>1271</v>
      </c>
      <c r="J547" t="str">
        <f t="shared" si="33"/>
        <v xml:space="preserve">        35.8        0.36      0.5709      0.1178      0.0742       0.339       1.423       2.028              </v>
      </c>
      <c r="S547">
        <v>35.799999999999997</v>
      </c>
      <c r="T547">
        <v>0.36</v>
      </c>
      <c r="U547">
        <v>0.57089999999999996</v>
      </c>
      <c r="V547">
        <v>0.1178</v>
      </c>
      <c r="W547">
        <v>7.4200000000000002E-2</v>
      </c>
      <c r="X547">
        <v>0.33900000000000002</v>
      </c>
      <c r="Y547">
        <v>1.423</v>
      </c>
      <c r="Z547">
        <v>2.028</v>
      </c>
    </row>
    <row r="548" spans="1:26" x14ac:dyDescent="0.25">
      <c r="A548" s="1" t="s">
        <v>1272</v>
      </c>
      <c r="J548" t="str">
        <f t="shared" si="33"/>
        <v xml:space="preserve">        39.0        0.39      0.6053      0.1140      0.0739       0.337       1.416       1.961              </v>
      </c>
      <c r="S548">
        <v>39</v>
      </c>
      <c r="T548">
        <v>0.39</v>
      </c>
      <c r="U548">
        <v>0.60529999999999995</v>
      </c>
      <c r="V548">
        <v>0.114</v>
      </c>
      <c r="W548">
        <v>7.3899999999999993E-2</v>
      </c>
      <c r="X548">
        <v>0.33700000000000002</v>
      </c>
      <c r="Y548">
        <v>1.4159999999999999</v>
      </c>
      <c r="Z548">
        <v>1.9610000000000001</v>
      </c>
    </row>
    <row r="549" spans="1:26" x14ac:dyDescent="0.25">
      <c r="A549" s="1" t="s">
        <v>1273</v>
      </c>
      <c r="J549" t="str">
        <f t="shared" si="33"/>
        <v xml:space="preserve">        42.3        0.42      0.6374      0.1095      0.0730       0.333       1.400       1.885              </v>
      </c>
      <c r="S549">
        <v>42.3</v>
      </c>
      <c r="T549">
        <v>0.42</v>
      </c>
      <c r="U549">
        <v>0.63739999999999997</v>
      </c>
      <c r="V549">
        <v>0.1095</v>
      </c>
      <c r="W549">
        <v>7.2999999999999995E-2</v>
      </c>
      <c r="X549">
        <v>0.33300000000000002</v>
      </c>
      <c r="Y549">
        <v>1.4</v>
      </c>
      <c r="Z549">
        <v>1.885</v>
      </c>
    </row>
    <row r="550" spans="1:26" x14ac:dyDescent="0.25">
      <c r="A550" s="1" t="s">
        <v>1274</v>
      </c>
      <c r="J550" t="str">
        <f t="shared" si="33"/>
        <v xml:space="preserve">        45.5        0.46      0.6674      0.1045      0.0717       0.327       1.375       1.799              </v>
      </c>
      <c r="S550">
        <v>45.5</v>
      </c>
      <c r="T550">
        <v>0.46</v>
      </c>
      <c r="U550">
        <v>0.66739999999999999</v>
      </c>
      <c r="V550">
        <v>0.1045</v>
      </c>
      <c r="W550">
        <v>7.17E-2</v>
      </c>
      <c r="X550">
        <v>0.32700000000000001</v>
      </c>
      <c r="Y550">
        <v>1.375</v>
      </c>
      <c r="Z550">
        <v>1.7989999999999999</v>
      </c>
    </row>
    <row r="551" spans="1:26" x14ac:dyDescent="0.25">
      <c r="A551" s="1" t="s">
        <v>1275</v>
      </c>
      <c r="J551" t="str">
        <f t="shared" si="33"/>
        <v xml:space="preserve">        48.8        0.49      0.6951      0.0990      0.0699       0.319       1.339       1.704              </v>
      </c>
      <c r="S551">
        <v>48.8</v>
      </c>
      <c r="T551">
        <v>0.49</v>
      </c>
      <c r="U551">
        <v>0.69510000000000005</v>
      </c>
      <c r="V551">
        <v>9.9000000000000005E-2</v>
      </c>
      <c r="W551">
        <v>6.9900000000000004E-2</v>
      </c>
      <c r="X551">
        <v>0.31900000000000001</v>
      </c>
      <c r="Y551">
        <v>1.339</v>
      </c>
      <c r="Z551">
        <v>1.704</v>
      </c>
    </row>
    <row r="552" spans="1:26" x14ac:dyDescent="0.25">
      <c r="A552" s="1" t="s">
        <v>1276</v>
      </c>
      <c r="J552" t="str">
        <f t="shared" si="33"/>
        <v xml:space="preserve">        52.0        0.52      0.7206      0.0930      0.0675       0.308       1.295       1.601              </v>
      </c>
      <c r="S552">
        <v>52</v>
      </c>
      <c r="T552">
        <v>0.52</v>
      </c>
      <c r="U552">
        <v>0.72060000000000002</v>
      </c>
      <c r="V552">
        <v>9.2999999999999999E-2</v>
      </c>
      <c r="W552">
        <v>6.7500000000000004E-2</v>
      </c>
      <c r="X552">
        <v>0.308</v>
      </c>
      <c r="Y552">
        <v>1.2949999999999999</v>
      </c>
      <c r="Z552">
        <v>1.601</v>
      </c>
    </row>
    <row r="553" spans="1:26" x14ac:dyDescent="0.25">
      <c r="A553" s="1" t="s">
        <v>1277</v>
      </c>
      <c r="J553" t="str">
        <f t="shared" si="33"/>
        <v xml:space="preserve">        55.3        0.56      0.7437      0.0868      0.0649       0.296       1.244       1.494              </v>
      </c>
      <c r="S553">
        <v>55.3</v>
      </c>
      <c r="T553">
        <v>0.56000000000000005</v>
      </c>
      <c r="U553">
        <v>0.74370000000000003</v>
      </c>
      <c r="V553">
        <v>8.6800000000000002E-2</v>
      </c>
      <c r="W553">
        <v>6.4899999999999999E-2</v>
      </c>
      <c r="X553">
        <v>0.29599999999999999</v>
      </c>
      <c r="Y553">
        <v>1.244</v>
      </c>
      <c r="Z553">
        <v>1.494</v>
      </c>
    </row>
    <row r="554" spans="1:26" x14ac:dyDescent="0.25">
      <c r="A554" s="1" t="s">
        <v>1278</v>
      </c>
      <c r="J554" t="str">
        <f t="shared" si="33"/>
        <v xml:space="preserve">        58.5        0.59      0.7644      0.0804      0.0619       0.282       1.187       1.384              </v>
      </c>
      <c r="S554">
        <v>58.5</v>
      </c>
      <c r="T554">
        <v>0.59</v>
      </c>
      <c r="U554">
        <v>0.76439999999999997</v>
      </c>
      <c r="V554">
        <v>8.0399999999999999E-2</v>
      </c>
      <c r="W554">
        <v>6.1899999999999997E-2</v>
      </c>
      <c r="X554">
        <v>0.28199999999999997</v>
      </c>
      <c r="Y554">
        <v>1.1870000000000001</v>
      </c>
      <c r="Z554">
        <v>1.3839999999999999</v>
      </c>
    </row>
    <row r="555" spans="1:26" x14ac:dyDescent="0.25">
      <c r="A555" s="1" t="s">
        <v>1279</v>
      </c>
      <c r="J555" t="str">
        <f t="shared" si="33"/>
        <v xml:space="preserve">        61.8        0.62      0.7824      0.0739      0.0586       0.268       1.124       1.271              </v>
      </c>
      <c r="S555">
        <v>61.8</v>
      </c>
      <c r="T555">
        <v>0.62</v>
      </c>
      <c r="U555">
        <v>0.78239999999999998</v>
      </c>
      <c r="V555">
        <v>7.3899999999999993E-2</v>
      </c>
      <c r="W555">
        <v>5.8599999999999999E-2</v>
      </c>
      <c r="X555">
        <v>0.26800000000000002</v>
      </c>
      <c r="Y555">
        <v>1.1240000000000001</v>
      </c>
      <c r="Z555">
        <v>1.2709999999999999</v>
      </c>
    </row>
    <row r="556" spans="1:26" x14ac:dyDescent="0.25">
      <c r="A556" s="1" t="s">
        <v>1280</v>
      </c>
      <c r="J556" t="str">
        <f t="shared" si="33"/>
        <v xml:space="preserve">        65.0        0.65      0.7979      0.0672      0.0550       0.251       1.055       1.156              </v>
      </c>
      <c r="S556">
        <v>65</v>
      </c>
      <c r="T556">
        <v>0.65</v>
      </c>
      <c r="U556">
        <v>0.79790000000000005</v>
      </c>
      <c r="V556">
        <v>6.7199999999999996E-2</v>
      </c>
      <c r="W556">
        <v>5.5E-2</v>
      </c>
      <c r="X556">
        <v>0.251</v>
      </c>
      <c r="Y556">
        <v>1.0549999999999999</v>
      </c>
      <c r="Z556">
        <v>1.1559999999999999</v>
      </c>
    </row>
    <row r="557" spans="1:26" x14ac:dyDescent="0.25">
      <c r="A557" s="1" t="s">
        <v>1281</v>
      </c>
      <c r="J557" t="str">
        <f t="shared" si="33"/>
        <v xml:space="preserve">        68.3        0.69      0.8108      0.0603      0.0511       0.233       0.979       1.038              </v>
      </c>
      <c r="S557">
        <v>68.3</v>
      </c>
      <c r="T557">
        <v>0.69</v>
      </c>
      <c r="U557">
        <v>0.81079999999999997</v>
      </c>
      <c r="V557">
        <v>6.0299999999999999E-2</v>
      </c>
      <c r="W557">
        <v>5.11E-2</v>
      </c>
      <c r="X557">
        <v>0.23300000000000001</v>
      </c>
      <c r="Y557">
        <v>0.97899999999999998</v>
      </c>
      <c r="Z557">
        <v>1.038</v>
      </c>
    </row>
    <row r="558" spans="1:26" x14ac:dyDescent="0.25">
      <c r="A558" s="1" t="s">
        <v>1282</v>
      </c>
      <c r="J558" t="str">
        <f t="shared" si="33"/>
        <v xml:space="preserve">        71.5        0.72      0.8200      0.0533      0.0468       0.213       0.896       0.918              </v>
      </c>
      <c r="S558">
        <v>71.5</v>
      </c>
      <c r="T558">
        <v>0.72</v>
      </c>
      <c r="U558">
        <v>0.82</v>
      </c>
      <c r="V558">
        <v>5.33E-2</v>
      </c>
      <c r="W558">
        <v>4.6800000000000001E-2</v>
      </c>
      <c r="X558">
        <v>0.21299999999999999</v>
      </c>
      <c r="Y558">
        <v>0.89600000000000002</v>
      </c>
      <c r="Z558">
        <v>0.91800000000000004</v>
      </c>
    </row>
    <row r="559" spans="1:26" x14ac:dyDescent="0.25">
      <c r="A559" s="1" t="s">
        <v>1283</v>
      </c>
      <c r="J559" t="str">
        <f t="shared" si="33"/>
        <v xml:space="preserve">        74.8        0.75      0.8249      0.0462      0.0421       0.192       0.807       0.794              </v>
      </c>
      <c r="S559">
        <v>74.8</v>
      </c>
      <c r="T559">
        <v>0.75</v>
      </c>
      <c r="U559">
        <v>0.82489999999999997</v>
      </c>
      <c r="V559">
        <v>4.6199999999999998E-2</v>
      </c>
      <c r="W559">
        <v>4.2099999999999999E-2</v>
      </c>
      <c r="X559">
        <v>0.192</v>
      </c>
      <c r="Y559">
        <v>0.80700000000000005</v>
      </c>
      <c r="Z559">
        <v>0.79400000000000004</v>
      </c>
    </row>
    <row r="560" spans="1:26" x14ac:dyDescent="0.25">
      <c r="A560" s="1" t="s">
        <v>1284</v>
      </c>
      <c r="J560" t="str">
        <f t="shared" si="33"/>
        <v xml:space="preserve">        78.0        0.78      0.8254      0.0388      0.0369       0.168       0.708       0.668              </v>
      </c>
      <c r="S560">
        <v>78</v>
      </c>
      <c r="T560">
        <v>0.78</v>
      </c>
      <c r="U560">
        <v>0.82540000000000002</v>
      </c>
      <c r="V560">
        <v>3.8800000000000001E-2</v>
      </c>
      <c r="W560">
        <v>3.6900000000000002E-2</v>
      </c>
      <c r="X560">
        <v>0.16800000000000001</v>
      </c>
      <c r="Y560">
        <v>0.70799999999999996</v>
      </c>
      <c r="Z560">
        <v>0.66800000000000004</v>
      </c>
    </row>
    <row r="561" spans="1:29" x14ac:dyDescent="0.25">
      <c r="A561" s="1" t="s">
        <v>1285</v>
      </c>
      <c r="J561" t="str">
        <f t="shared" si="33"/>
        <v xml:space="preserve">        81.3        0.82      0.8184      0.0313      0.0313       0.143       0.600       0.539              </v>
      </c>
      <c r="S561">
        <v>81.3</v>
      </c>
      <c r="T561">
        <v>0.82</v>
      </c>
      <c r="U561">
        <v>0.81840000000000002</v>
      </c>
      <c r="V561">
        <v>3.1300000000000001E-2</v>
      </c>
      <c r="W561">
        <v>3.1300000000000001E-2</v>
      </c>
      <c r="X561">
        <v>0.14299999999999999</v>
      </c>
      <c r="Y561">
        <v>0.6</v>
      </c>
      <c r="Z561">
        <v>0.53900000000000003</v>
      </c>
    </row>
    <row r="562" spans="1:29" x14ac:dyDescent="0.25">
      <c r="A562" s="1" t="s">
        <v>1286</v>
      </c>
      <c r="J562" t="str">
        <f t="shared" si="33"/>
        <v xml:space="preserve">        84.5        0.85      0.7965      0.0237      0.0253       0.115       0.485       0.408              </v>
      </c>
      <c r="S562">
        <v>84.5</v>
      </c>
      <c r="T562">
        <v>0.85</v>
      </c>
      <c r="U562">
        <v>0.79649999999999999</v>
      </c>
      <c r="V562">
        <v>2.3699999999999999E-2</v>
      </c>
      <c r="W562">
        <v>2.53E-2</v>
      </c>
      <c r="X562">
        <v>0.115</v>
      </c>
      <c r="Y562">
        <v>0.48499999999999999</v>
      </c>
      <c r="Z562">
        <v>0.40799999999999997</v>
      </c>
    </row>
    <row r="563" spans="1:29" x14ac:dyDescent="0.25">
      <c r="A563" s="1" t="s">
        <v>1287</v>
      </c>
      <c r="J563" t="str">
        <f t="shared" si="33"/>
        <v xml:space="preserve">        87.8        0.88      0.7453      0.0159      0.0189       0.086       0.361       0.274              </v>
      </c>
      <c r="S563">
        <v>87.8</v>
      </c>
      <c r="T563">
        <v>0.88</v>
      </c>
      <c r="U563">
        <v>0.74529999999999996</v>
      </c>
      <c r="V563">
        <v>1.5900000000000001E-2</v>
      </c>
      <c r="W563">
        <v>1.89E-2</v>
      </c>
      <c r="X563">
        <v>8.5999999999999993E-2</v>
      </c>
      <c r="Y563">
        <v>0.36099999999999999</v>
      </c>
      <c r="Z563">
        <v>0.27400000000000002</v>
      </c>
    </row>
    <row r="564" spans="1:29" x14ac:dyDescent="0.25">
      <c r="A564" s="1" t="s">
        <v>1288</v>
      </c>
      <c r="J564" t="str">
        <f t="shared" si="33"/>
        <v xml:space="preserve">        91.0        0.92      0.6090      0.0080      0.0120       0.055       0.231       0.138              </v>
      </c>
      <c r="S564">
        <v>91</v>
      </c>
      <c r="T564">
        <v>0.92</v>
      </c>
      <c r="U564">
        <v>0.60899999999999999</v>
      </c>
      <c r="V564">
        <v>8.0000000000000002E-3</v>
      </c>
      <c r="W564">
        <v>1.2E-2</v>
      </c>
      <c r="X564">
        <v>5.5E-2</v>
      </c>
      <c r="Y564">
        <v>0.23100000000000001</v>
      </c>
      <c r="Z564">
        <v>0.13800000000000001</v>
      </c>
    </row>
    <row r="565" spans="1:29" x14ac:dyDescent="0.25">
      <c r="A565" s="1" t="s">
        <v>1289</v>
      </c>
      <c r="J565" t="str">
        <f t="shared" si="33"/>
        <v xml:space="preserve">        94.3        0.95     -0.0024      0.0000      0.0055       0.025       0.106       0.000              </v>
      </c>
      <c r="S565">
        <v>94.3</v>
      </c>
      <c r="T565">
        <v>0.95</v>
      </c>
      <c r="U565">
        <v>-2.3999999999999998E-3</v>
      </c>
      <c r="V565">
        <v>0</v>
      </c>
      <c r="W565">
        <v>5.4999999999999997E-3</v>
      </c>
      <c r="X565">
        <v>2.5000000000000001E-2</v>
      </c>
      <c r="Y565">
        <v>0.106</v>
      </c>
      <c r="Z565">
        <v>0</v>
      </c>
    </row>
    <row r="566" spans="1:29" x14ac:dyDescent="0.25">
      <c r="A566" s="1" t="s">
        <v>1</v>
      </c>
    </row>
    <row r="567" spans="1:29" x14ac:dyDescent="0.25">
      <c r="A567" s="1" t="s">
        <v>1</v>
      </c>
    </row>
    <row r="568" spans="1:29" x14ac:dyDescent="0.25">
      <c r="A568" s="1" t="s">
        <v>1</v>
      </c>
    </row>
    <row r="569" spans="1:29" x14ac:dyDescent="0.25">
      <c r="A569" s="1" t="s">
        <v>475</v>
      </c>
      <c r="J569" s="43" t="s">
        <v>1797</v>
      </c>
      <c r="S569">
        <v>16000</v>
      </c>
      <c r="AC569" t="str">
        <f>CONCATENATE($V$16,$AC$13,S569)</f>
        <v>Ct@16000</v>
      </c>
    </row>
    <row r="570" spans="1:29" x14ac:dyDescent="0.25">
      <c r="A570" s="1" t="s">
        <v>1</v>
      </c>
    </row>
    <row r="571" spans="1:29" x14ac:dyDescent="0.25">
      <c r="A571" s="1" t="s">
        <v>9</v>
      </c>
      <c r="J571" t="str">
        <f>A571</f>
        <v xml:space="preserve">         V          J           Pe         Ct          Cp          PWR         Torque      Thrust             </v>
      </c>
      <c r="S571" t="s">
        <v>662</v>
      </c>
      <c r="T571" t="s">
        <v>663</v>
      </c>
      <c r="U571" t="s">
        <v>664</v>
      </c>
      <c r="V571" t="s">
        <v>665</v>
      </c>
      <c r="W571" t="s">
        <v>666</v>
      </c>
      <c r="X571" t="s">
        <v>667</v>
      </c>
      <c r="Y571" t="s">
        <v>668</v>
      </c>
      <c r="Z571" t="s">
        <v>669</v>
      </c>
    </row>
    <row r="572" spans="1:29" x14ac:dyDescent="0.25">
      <c r="A572" s="1" t="s">
        <v>10</v>
      </c>
      <c r="J572" t="str">
        <f t="shared" ref="J572:J602" si="34">A572</f>
        <v xml:space="preserve">       (mph)     (Adv Ratio)                                       (Hp)        (In-Lbf)     (Lbf)             </v>
      </c>
      <c r="S572" t="s">
        <v>670</v>
      </c>
      <c r="T572" t="s">
        <v>1780</v>
      </c>
      <c r="U572" t="s">
        <v>1781</v>
      </c>
      <c r="V572" t="s">
        <v>672</v>
      </c>
      <c r="W572" t="s">
        <v>673</v>
      </c>
      <c r="X572" t="s">
        <v>674</v>
      </c>
    </row>
    <row r="573" spans="1:29" x14ac:dyDescent="0.25">
      <c r="A573" s="1" t="s">
        <v>1290</v>
      </c>
      <c r="J573" t="str">
        <f t="shared" si="34"/>
        <v xml:space="preserve">         0.0        0.00      0.0000      0.1332      0.0662       0.367       1.444       2.608              </v>
      </c>
      <c r="S573">
        <v>0</v>
      </c>
      <c r="T573">
        <v>0</v>
      </c>
      <c r="U573">
        <v>0</v>
      </c>
      <c r="V573">
        <v>0.13320000000000001</v>
      </c>
      <c r="W573">
        <v>6.6199999999999995E-2</v>
      </c>
      <c r="X573">
        <v>0.36699999999999999</v>
      </c>
      <c r="Y573">
        <v>1.444</v>
      </c>
      <c r="Z573">
        <v>2.6080000000000001</v>
      </c>
    </row>
    <row r="574" spans="1:29" x14ac:dyDescent="0.25">
      <c r="A574" s="1" t="s">
        <v>1291</v>
      </c>
      <c r="J574" t="str">
        <f t="shared" si="34"/>
        <v xml:space="preserve">         3.5        0.03      0.0645      0.1329      0.0673       0.373       1.469       2.602              </v>
      </c>
      <c r="S574">
        <v>3.5</v>
      </c>
      <c r="T574">
        <v>0.03</v>
      </c>
      <c r="U574">
        <v>6.4500000000000002E-2</v>
      </c>
      <c r="V574">
        <v>0.13289999999999999</v>
      </c>
      <c r="W574">
        <v>6.7299999999999999E-2</v>
      </c>
      <c r="X574">
        <v>0.373</v>
      </c>
      <c r="Y574">
        <v>1.4690000000000001</v>
      </c>
      <c r="Z574">
        <v>2.6019999999999999</v>
      </c>
    </row>
    <row r="575" spans="1:29" x14ac:dyDescent="0.25">
      <c r="A575" s="1" t="s">
        <v>1292</v>
      </c>
      <c r="J575" t="str">
        <f t="shared" si="34"/>
        <v xml:space="preserve">         6.9        0.07      0.1264      0.1325      0.0685       0.380       1.495       2.595              </v>
      </c>
      <c r="S575">
        <v>6.9</v>
      </c>
      <c r="T575">
        <v>7.0000000000000007E-2</v>
      </c>
      <c r="U575">
        <v>0.12640000000000001</v>
      </c>
      <c r="V575">
        <v>0.13250000000000001</v>
      </c>
      <c r="W575">
        <v>6.8500000000000005E-2</v>
      </c>
      <c r="X575">
        <v>0.38</v>
      </c>
      <c r="Y575">
        <v>1.4950000000000001</v>
      </c>
      <c r="Z575">
        <v>2.5950000000000002</v>
      </c>
    </row>
    <row r="576" spans="1:29" x14ac:dyDescent="0.25">
      <c r="A576" s="1" t="s">
        <v>1293</v>
      </c>
      <c r="J576" t="str">
        <f t="shared" si="34"/>
        <v xml:space="preserve">        10.4        0.10      0.1857      0.1321      0.0697       0.386       1.522       2.587              </v>
      </c>
      <c r="S576">
        <v>10.4</v>
      </c>
      <c r="T576">
        <v>0.1</v>
      </c>
      <c r="U576">
        <v>0.1857</v>
      </c>
      <c r="V576">
        <v>0.1321</v>
      </c>
      <c r="W576">
        <v>6.9699999999999998E-2</v>
      </c>
      <c r="X576">
        <v>0.38600000000000001</v>
      </c>
      <c r="Y576">
        <v>1.522</v>
      </c>
      <c r="Z576">
        <v>2.5870000000000002</v>
      </c>
    </row>
    <row r="577" spans="1:26" x14ac:dyDescent="0.25">
      <c r="A577" s="1" t="s">
        <v>1294</v>
      </c>
      <c r="J577" t="str">
        <f t="shared" si="34"/>
        <v xml:space="preserve">        13.9        0.13      0.2423      0.1315      0.0710       0.393       1.548       2.576              </v>
      </c>
      <c r="S577">
        <v>13.9</v>
      </c>
      <c r="T577">
        <v>0.13</v>
      </c>
      <c r="U577">
        <v>0.24229999999999999</v>
      </c>
      <c r="V577">
        <v>0.13150000000000001</v>
      </c>
      <c r="W577">
        <v>7.0999999999999994E-2</v>
      </c>
      <c r="X577">
        <v>0.39300000000000002</v>
      </c>
      <c r="Y577">
        <v>1.548</v>
      </c>
      <c r="Z577">
        <v>2.5760000000000001</v>
      </c>
    </row>
    <row r="578" spans="1:26" x14ac:dyDescent="0.25">
      <c r="A578" s="1" t="s">
        <v>1295</v>
      </c>
      <c r="J578" t="str">
        <f t="shared" si="34"/>
        <v xml:space="preserve">        17.3        0.16      0.2962      0.1308      0.0722       0.400       1.575       2.562              </v>
      </c>
      <c r="S578">
        <v>17.3</v>
      </c>
      <c r="T578">
        <v>0.16</v>
      </c>
      <c r="U578">
        <v>0.29620000000000002</v>
      </c>
      <c r="V578">
        <v>0.1308</v>
      </c>
      <c r="W578">
        <v>7.22E-2</v>
      </c>
      <c r="X578">
        <v>0.4</v>
      </c>
      <c r="Y578">
        <v>1.575</v>
      </c>
      <c r="Z578">
        <v>2.5619999999999998</v>
      </c>
    </row>
    <row r="579" spans="1:26" x14ac:dyDescent="0.25">
      <c r="A579" s="1" t="s">
        <v>1296</v>
      </c>
      <c r="J579" t="str">
        <f t="shared" si="34"/>
        <v xml:space="preserve">        20.8        0.20      0.3475      0.1299      0.0733       0.406       1.599       2.544              </v>
      </c>
      <c r="S579">
        <v>20.8</v>
      </c>
      <c r="T579">
        <v>0.2</v>
      </c>
      <c r="U579">
        <v>0.34749999999999998</v>
      </c>
      <c r="V579">
        <v>0.12989999999999999</v>
      </c>
      <c r="W579">
        <v>7.3300000000000004E-2</v>
      </c>
      <c r="X579">
        <v>0.40600000000000003</v>
      </c>
      <c r="Y579">
        <v>1.599</v>
      </c>
      <c r="Z579">
        <v>2.544</v>
      </c>
    </row>
    <row r="580" spans="1:26" x14ac:dyDescent="0.25">
      <c r="A580" s="1" t="s">
        <v>1297</v>
      </c>
      <c r="J580" t="str">
        <f t="shared" si="34"/>
        <v xml:space="preserve">        24.3        0.23      0.3962      0.1287      0.0743       0.411       1.621       2.519              </v>
      </c>
      <c r="S580">
        <v>24.3</v>
      </c>
      <c r="T580">
        <v>0.23</v>
      </c>
      <c r="U580">
        <v>0.3962</v>
      </c>
      <c r="V580">
        <v>0.12870000000000001</v>
      </c>
      <c r="W580">
        <v>7.4300000000000005E-2</v>
      </c>
      <c r="X580">
        <v>0.41099999999999998</v>
      </c>
      <c r="Y580">
        <v>1.621</v>
      </c>
      <c r="Z580">
        <v>2.5190000000000001</v>
      </c>
    </row>
    <row r="581" spans="1:26" x14ac:dyDescent="0.25">
      <c r="A581" s="1" t="s">
        <v>1298</v>
      </c>
      <c r="J581" t="str">
        <f t="shared" si="34"/>
        <v xml:space="preserve">        27.7        0.26      0.4425      0.1270      0.0750       0.416       1.637       2.487              </v>
      </c>
      <c r="S581">
        <v>27.7</v>
      </c>
      <c r="T581">
        <v>0.26</v>
      </c>
      <c r="U581">
        <v>0.4425</v>
      </c>
      <c r="V581">
        <v>0.127</v>
      </c>
      <c r="W581">
        <v>7.4999999999999997E-2</v>
      </c>
      <c r="X581">
        <v>0.41599999999999998</v>
      </c>
      <c r="Y581">
        <v>1.637</v>
      </c>
      <c r="Z581">
        <v>2.4870000000000001</v>
      </c>
    </row>
    <row r="582" spans="1:26" x14ac:dyDescent="0.25">
      <c r="A582" s="1" t="s">
        <v>1299</v>
      </c>
      <c r="J582" t="str">
        <f t="shared" si="34"/>
        <v xml:space="preserve">        31.2        0.29      0.4864      0.1248      0.0755       0.418       1.646       2.443              </v>
      </c>
      <c r="S582">
        <v>31.2</v>
      </c>
      <c r="T582">
        <v>0.28999999999999998</v>
      </c>
      <c r="U582">
        <v>0.4864</v>
      </c>
      <c r="V582">
        <v>0.12479999999999999</v>
      </c>
      <c r="W582">
        <v>7.5499999999999998E-2</v>
      </c>
      <c r="X582">
        <v>0.41799999999999998</v>
      </c>
      <c r="Y582">
        <v>1.6459999999999999</v>
      </c>
      <c r="Z582">
        <v>2.4430000000000001</v>
      </c>
    </row>
    <row r="583" spans="1:26" x14ac:dyDescent="0.25">
      <c r="A583" s="1" t="s">
        <v>1300</v>
      </c>
      <c r="J583" t="str">
        <f t="shared" si="34"/>
        <v xml:space="preserve">        34.7        0.33      0.5277      0.1220      0.0756       0.418       1.648       2.389              </v>
      </c>
      <c r="S583">
        <v>34.700000000000003</v>
      </c>
      <c r="T583">
        <v>0.33</v>
      </c>
      <c r="U583">
        <v>0.52769999999999995</v>
      </c>
      <c r="V583">
        <v>0.122</v>
      </c>
      <c r="W583">
        <v>7.5600000000000001E-2</v>
      </c>
      <c r="X583">
        <v>0.41799999999999998</v>
      </c>
      <c r="Y583">
        <v>1.6479999999999999</v>
      </c>
      <c r="Z583">
        <v>2.3889999999999998</v>
      </c>
    </row>
    <row r="584" spans="1:26" x14ac:dyDescent="0.25">
      <c r="A584" s="1" t="s">
        <v>1301</v>
      </c>
      <c r="J584" t="str">
        <f t="shared" si="34"/>
        <v xml:space="preserve">        38.1        0.36      0.5664      0.1187      0.0753       0.417       1.643       2.323              </v>
      </c>
      <c r="S584">
        <v>38.1</v>
      </c>
      <c r="T584">
        <v>0.36</v>
      </c>
      <c r="U584">
        <v>0.56640000000000001</v>
      </c>
      <c r="V584">
        <v>0.1187</v>
      </c>
      <c r="W584">
        <v>7.5300000000000006E-2</v>
      </c>
      <c r="X584">
        <v>0.41699999999999998</v>
      </c>
      <c r="Y584">
        <v>1.643</v>
      </c>
      <c r="Z584">
        <v>2.323</v>
      </c>
    </row>
    <row r="585" spans="1:26" x14ac:dyDescent="0.25">
      <c r="A585" s="1" t="s">
        <v>1302</v>
      </c>
      <c r="J585" t="str">
        <f t="shared" si="34"/>
        <v xml:space="preserve">        41.6        0.39      0.6025      0.1147      0.0747       0.414       1.629       2.247              </v>
      </c>
      <c r="S585">
        <v>41.6</v>
      </c>
      <c r="T585">
        <v>0.39</v>
      </c>
      <c r="U585">
        <v>0.60250000000000004</v>
      </c>
      <c r="V585">
        <v>0.1147</v>
      </c>
      <c r="W585">
        <v>7.4700000000000003E-2</v>
      </c>
      <c r="X585">
        <v>0.41399999999999998</v>
      </c>
      <c r="Y585">
        <v>1.629</v>
      </c>
      <c r="Z585">
        <v>2.2469999999999999</v>
      </c>
    </row>
    <row r="586" spans="1:26" x14ac:dyDescent="0.25">
      <c r="A586" s="1" t="s">
        <v>1303</v>
      </c>
      <c r="J586" t="str">
        <f t="shared" si="34"/>
        <v xml:space="preserve">        45.1        0.42      0.6361      0.1103      0.0736       0.408       1.606       2.159              </v>
      </c>
      <c r="S586">
        <v>45.1</v>
      </c>
      <c r="T586">
        <v>0.42</v>
      </c>
      <c r="U586">
        <v>0.6361</v>
      </c>
      <c r="V586">
        <v>0.1103</v>
      </c>
      <c r="W586">
        <v>7.3599999999999999E-2</v>
      </c>
      <c r="X586">
        <v>0.40799999999999997</v>
      </c>
      <c r="Y586">
        <v>1.6060000000000001</v>
      </c>
      <c r="Z586">
        <v>2.1589999999999998</v>
      </c>
    </row>
    <row r="587" spans="1:26" x14ac:dyDescent="0.25">
      <c r="A587" s="1" t="s">
        <v>1304</v>
      </c>
      <c r="J587" t="str">
        <f t="shared" si="34"/>
        <v xml:space="preserve">        48.5        0.46      0.6672      0.1052      0.0721       0.399       1.573       2.059              </v>
      </c>
      <c r="S587">
        <v>48.5</v>
      </c>
      <c r="T587">
        <v>0.46</v>
      </c>
      <c r="U587">
        <v>0.66720000000000002</v>
      </c>
      <c r="V587">
        <v>0.1052</v>
      </c>
      <c r="W587">
        <v>7.2099999999999997E-2</v>
      </c>
      <c r="X587">
        <v>0.39900000000000002</v>
      </c>
      <c r="Y587">
        <v>1.573</v>
      </c>
      <c r="Z587">
        <v>2.0590000000000002</v>
      </c>
    </row>
    <row r="588" spans="1:26" x14ac:dyDescent="0.25">
      <c r="A588" s="1" t="s">
        <v>1305</v>
      </c>
      <c r="J588" t="str">
        <f t="shared" si="34"/>
        <v xml:space="preserve">        52.0        0.49      0.6957      0.0996      0.0702       0.389       1.531       1.950              </v>
      </c>
      <c r="S588">
        <v>52</v>
      </c>
      <c r="T588">
        <v>0.49</v>
      </c>
      <c r="U588">
        <v>0.69569999999999999</v>
      </c>
      <c r="V588">
        <v>9.9599999999999994E-2</v>
      </c>
      <c r="W588">
        <v>7.0199999999999999E-2</v>
      </c>
      <c r="X588">
        <v>0.38900000000000001</v>
      </c>
      <c r="Y588">
        <v>1.5309999999999999</v>
      </c>
      <c r="Z588">
        <v>1.95</v>
      </c>
    </row>
    <row r="589" spans="1:26" x14ac:dyDescent="0.25">
      <c r="A589" s="1" t="s">
        <v>1306</v>
      </c>
      <c r="J589" t="str">
        <f t="shared" si="34"/>
        <v xml:space="preserve">        55.5        0.52      0.7216      0.0935      0.0678       0.375       1.479       1.832              </v>
      </c>
      <c r="S589">
        <v>55.5</v>
      </c>
      <c r="T589">
        <v>0.52</v>
      </c>
      <c r="U589">
        <v>0.72160000000000002</v>
      </c>
      <c r="V589">
        <v>9.35E-2</v>
      </c>
      <c r="W589">
        <v>6.7799999999999999E-2</v>
      </c>
      <c r="X589">
        <v>0.375</v>
      </c>
      <c r="Y589">
        <v>1.4790000000000001</v>
      </c>
      <c r="Z589">
        <v>1.8320000000000001</v>
      </c>
    </row>
    <row r="590" spans="1:26" x14ac:dyDescent="0.25">
      <c r="A590" s="1" t="s">
        <v>1307</v>
      </c>
      <c r="J590" t="str">
        <f t="shared" si="34"/>
        <v xml:space="preserve">        58.9        0.56      0.7450      0.0873      0.0651       0.360       1.420       1.709              </v>
      </c>
      <c r="S590">
        <v>58.9</v>
      </c>
      <c r="T590">
        <v>0.56000000000000005</v>
      </c>
      <c r="U590">
        <v>0.745</v>
      </c>
      <c r="V590">
        <v>8.7300000000000003E-2</v>
      </c>
      <c r="W590">
        <v>6.5100000000000005E-2</v>
      </c>
      <c r="X590">
        <v>0.36</v>
      </c>
      <c r="Y590">
        <v>1.42</v>
      </c>
      <c r="Z590">
        <v>1.7090000000000001</v>
      </c>
    </row>
    <row r="591" spans="1:26" x14ac:dyDescent="0.25">
      <c r="A591" s="1" t="s">
        <v>1308</v>
      </c>
      <c r="J591" t="str">
        <f t="shared" si="34"/>
        <v xml:space="preserve">        62.4        0.59      0.7659      0.0808      0.0621       0.344       1.355       1.583              </v>
      </c>
      <c r="S591">
        <v>62.4</v>
      </c>
      <c r="T591">
        <v>0.59</v>
      </c>
      <c r="U591">
        <v>0.76590000000000003</v>
      </c>
      <c r="V591">
        <v>8.0799999999999997E-2</v>
      </c>
      <c r="W591">
        <v>6.2100000000000002E-2</v>
      </c>
      <c r="X591">
        <v>0.34399999999999997</v>
      </c>
      <c r="Y591">
        <v>1.355</v>
      </c>
      <c r="Z591">
        <v>1.583</v>
      </c>
    </row>
    <row r="592" spans="1:26" x14ac:dyDescent="0.25">
      <c r="A592" s="1" t="s">
        <v>1309</v>
      </c>
      <c r="J592" t="str">
        <f t="shared" si="34"/>
        <v xml:space="preserve">        65.9        0.62      0.7843      0.0743      0.0588       0.326       1.283       1.454              </v>
      </c>
      <c r="S592">
        <v>65.900000000000006</v>
      </c>
      <c r="T592">
        <v>0.62</v>
      </c>
      <c r="U592">
        <v>0.7843</v>
      </c>
      <c r="V592">
        <v>7.4300000000000005E-2</v>
      </c>
      <c r="W592">
        <v>5.8799999999999998E-2</v>
      </c>
      <c r="X592">
        <v>0.32600000000000001</v>
      </c>
      <c r="Y592">
        <v>1.2829999999999999</v>
      </c>
      <c r="Z592">
        <v>1.454</v>
      </c>
    </row>
    <row r="593" spans="1:26" x14ac:dyDescent="0.25">
      <c r="A593" s="1" t="s">
        <v>1310</v>
      </c>
      <c r="J593" t="str">
        <f t="shared" si="34"/>
        <v xml:space="preserve">        69.3        0.65      0.8003      0.0675      0.0552       0.305       1.203       1.322              </v>
      </c>
      <c r="S593">
        <v>69.3</v>
      </c>
      <c r="T593">
        <v>0.65</v>
      </c>
      <c r="U593">
        <v>0.80030000000000001</v>
      </c>
      <c r="V593">
        <v>6.7500000000000004E-2</v>
      </c>
      <c r="W593">
        <v>5.5199999999999999E-2</v>
      </c>
      <c r="X593">
        <v>0.30499999999999999</v>
      </c>
      <c r="Y593">
        <v>1.2030000000000001</v>
      </c>
      <c r="Z593">
        <v>1.3220000000000001</v>
      </c>
    </row>
    <row r="594" spans="1:26" x14ac:dyDescent="0.25">
      <c r="A594" s="1" t="s">
        <v>1311</v>
      </c>
      <c r="J594" t="str">
        <f t="shared" si="34"/>
        <v xml:space="preserve">        72.8        0.69      0.8135      0.0606      0.0512       0.283       1.116       1.187              </v>
      </c>
      <c r="S594">
        <v>72.8</v>
      </c>
      <c r="T594">
        <v>0.69</v>
      </c>
      <c r="U594">
        <v>0.8135</v>
      </c>
      <c r="V594">
        <v>6.0600000000000001E-2</v>
      </c>
      <c r="W594">
        <v>5.1200000000000002E-2</v>
      </c>
      <c r="X594">
        <v>0.28299999999999997</v>
      </c>
      <c r="Y594">
        <v>1.1160000000000001</v>
      </c>
      <c r="Z594">
        <v>1.1870000000000001</v>
      </c>
    </row>
    <row r="595" spans="1:26" x14ac:dyDescent="0.25">
      <c r="A595" s="1" t="s">
        <v>1312</v>
      </c>
      <c r="J595" t="str">
        <f t="shared" si="34"/>
        <v xml:space="preserve">        76.3        0.72      0.8233      0.0536      0.0468       0.259       1.021       1.050              </v>
      </c>
      <c r="S595">
        <v>76.3</v>
      </c>
      <c r="T595">
        <v>0.72</v>
      </c>
      <c r="U595">
        <v>0.82330000000000003</v>
      </c>
      <c r="V595">
        <v>5.3600000000000002E-2</v>
      </c>
      <c r="W595">
        <v>4.6800000000000001E-2</v>
      </c>
      <c r="X595">
        <v>0.25900000000000001</v>
      </c>
      <c r="Y595">
        <v>1.0209999999999999</v>
      </c>
      <c r="Z595">
        <v>1.05</v>
      </c>
    </row>
    <row r="596" spans="1:26" x14ac:dyDescent="0.25">
      <c r="A596" s="1" t="s">
        <v>1313</v>
      </c>
      <c r="J596" t="str">
        <f t="shared" si="34"/>
        <v xml:space="preserve">        79.7        0.75      0.8288      0.0464      0.0421       0.233       0.919       0.909              </v>
      </c>
      <c r="S596">
        <v>79.7</v>
      </c>
      <c r="T596">
        <v>0.75</v>
      </c>
      <c r="U596">
        <v>0.82879999999999998</v>
      </c>
      <c r="V596">
        <v>4.6399999999999997E-2</v>
      </c>
      <c r="W596">
        <v>4.2099999999999999E-2</v>
      </c>
      <c r="X596">
        <v>0.23300000000000001</v>
      </c>
      <c r="Y596">
        <v>0.91900000000000004</v>
      </c>
      <c r="Z596">
        <v>0.90900000000000003</v>
      </c>
    </row>
    <row r="597" spans="1:26" x14ac:dyDescent="0.25">
      <c r="A597" s="1" t="s">
        <v>1314</v>
      </c>
      <c r="J597" t="str">
        <f t="shared" si="34"/>
        <v xml:space="preserve">        83.2        0.78      0.8300      0.0391      0.0369       0.204       0.805       0.765              </v>
      </c>
      <c r="S597">
        <v>83.2</v>
      </c>
      <c r="T597">
        <v>0.78</v>
      </c>
      <c r="U597">
        <v>0.83</v>
      </c>
      <c r="V597">
        <v>3.9100000000000003E-2</v>
      </c>
      <c r="W597">
        <v>3.6900000000000002E-2</v>
      </c>
      <c r="X597">
        <v>0.20399999999999999</v>
      </c>
      <c r="Y597">
        <v>0.80500000000000005</v>
      </c>
      <c r="Z597">
        <v>0.76500000000000001</v>
      </c>
    </row>
    <row r="598" spans="1:26" x14ac:dyDescent="0.25">
      <c r="A598" s="1" t="s">
        <v>1315</v>
      </c>
      <c r="J598" t="str">
        <f t="shared" si="34"/>
        <v xml:space="preserve">        86.7        0.82      0.8236      0.0315      0.0312       0.173       0.681       0.617              </v>
      </c>
      <c r="S598">
        <v>86.7</v>
      </c>
      <c r="T598">
        <v>0.82</v>
      </c>
      <c r="U598">
        <v>0.8236</v>
      </c>
      <c r="V598">
        <v>3.15E-2</v>
      </c>
      <c r="W598">
        <v>3.1199999999999999E-2</v>
      </c>
      <c r="X598">
        <v>0.17299999999999999</v>
      </c>
      <c r="Y598">
        <v>0.68100000000000005</v>
      </c>
      <c r="Z598">
        <v>0.61699999999999999</v>
      </c>
    </row>
    <row r="599" spans="1:26" x14ac:dyDescent="0.25">
      <c r="A599" s="1" t="s">
        <v>1316</v>
      </c>
      <c r="J599" t="str">
        <f t="shared" si="34"/>
        <v xml:space="preserve">        90.1        0.85      0.8025      0.0238      0.0252       0.140       0.551       0.467              </v>
      </c>
      <c r="S599">
        <v>90.1</v>
      </c>
      <c r="T599">
        <v>0.85</v>
      </c>
      <c r="U599">
        <v>0.80249999999999999</v>
      </c>
      <c r="V599">
        <v>2.3800000000000002E-2</v>
      </c>
      <c r="W599">
        <v>2.52E-2</v>
      </c>
      <c r="X599">
        <v>0.14000000000000001</v>
      </c>
      <c r="Y599">
        <v>0.55100000000000005</v>
      </c>
      <c r="Z599">
        <v>0.46700000000000003</v>
      </c>
    </row>
    <row r="600" spans="1:26" x14ac:dyDescent="0.25">
      <c r="A600" s="1" t="s">
        <v>1317</v>
      </c>
      <c r="J600" t="str">
        <f t="shared" si="34"/>
        <v xml:space="preserve">        93.6        0.88      0.7525      0.0160      0.0188       0.104       0.410       0.314              </v>
      </c>
      <c r="S600">
        <v>93.6</v>
      </c>
      <c r="T600">
        <v>0.88</v>
      </c>
      <c r="U600">
        <v>0.75249999999999995</v>
      </c>
      <c r="V600">
        <v>1.6E-2</v>
      </c>
      <c r="W600">
        <v>1.8800000000000001E-2</v>
      </c>
      <c r="X600">
        <v>0.104</v>
      </c>
      <c r="Y600">
        <v>0.41</v>
      </c>
      <c r="Z600">
        <v>0.314</v>
      </c>
    </row>
    <row r="601" spans="1:26" x14ac:dyDescent="0.25">
      <c r="A601" s="1" t="s">
        <v>1318</v>
      </c>
      <c r="J601" t="str">
        <f t="shared" si="34"/>
        <v xml:space="preserve">        97.1        0.92      0.6176      0.0081      0.0119       0.066       0.260       0.158              </v>
      </c>
      <c r="S601">
        <v>97.1</v>
      </c>
      <c r="T601">
        <v>0.92</v>
      </c>
      <c r="U601">
        <v>0.61760000000000004</v>
      </c>
      <c r="V601">
        <v>8.0999999999999996E-3</v>
      </c>
      <c r="W601">
        <v>1.1900000000000001E-2</v>
      </c>
      <c r="X601">
        <v>6.6000000000000003E-2</v>
      </c>
      <c r="Y601">
        <v>0.26</v>
      </c>
      <c r="Z601">
        <v>0.158</v>
      </c>
    </row>
    <row r="602" spans="1:26" x14ac:dyDescent="0.25">
      <c r="A602" s="1" t="s">
        <v>1319</v>
      </c>
      <c r="J602" t="str">
        <f t="shared" si="34"/>
        <v xml:space="preserve">       100.5        0.95     -0.0026      0.0000      0.0054       0.030       0.118       0.000              </v>
      </c>
      <c r="S602">
        <v>100.5</v>
      </c>
      <c r="T602">
        <v>0.95</v>
      </c>
      <c r="U602">
        <v>-2.5999999999999999E-3</v>
      </c>
      <c r="V602">
        <v>0</v>
      </c>
      <c r="W602">
        <v>5.4000000000000003E-3</v>
      </c>
      <c r="X602">
        <v>0.03</v>
      </c>
      <c r="Y602">
        <v>0.11799999999999999</v>
      </c>
      <c r="Z602">
        <v>0</v>
      </c>
    </row>
    <row r="603" spans="1:26" x14ac:dyDescent="0.25">
      <c r="A603" s="1" t="s">
        <v>1</v>
      </c>
    </row>
    <row r="604" spans="1:26" x14ac:dyDescent="0.25">
      <c r="A604" s="1" t="s">
        <v>1</v>
      </c>
    </row>
    <row r="605" spans="1:26" x14ac:dyDescent="0.25">
      <c r="A605" s="1" t="s">
        <v>1</v>
      </c>
    </row>
    <row r="606" spans="1:26" x14ac:dyDescent="0.25">
      <c r="A606" s="1" t="s">
        <v>506</v>
      </c>
    </row>
    <row r="607" spans="1:26" x14ac:dyDescent="0.25">
      <c r="A607" s="1" t="s">
        <v>1</v>
      </c>
    </row>
    <row r="608" spans="1:26" x14ac:dyDescent="0.25">
      <c r="A608" s="1" t="s">
        <v>9</v>
      </c>
      <c r="J608" t="str">
        <f>A608</f>
        <v xml:space="preserve">         V          J           Pe         Ct          Cp          PWR         Torque      Thrust             </v>
      </c>
      <c r="S608" t="s">
        <v>662</v>
      </c>
      <c r="T608" t="s">
        <v>663</v>
      </c>
      <c r="U608" t="s">
        <v>664</v>
      </c>
      <c r="V608" t="s">
        <v>665</v>
      </c>
      <c r="W608" t="s">
        <v>666</v>
      </c>
      <c r="X608" t="s">
        <v>667</v>
      </c>
      <c r="Y608" t="s">
        <v>668</v>
      </c>
      <c r="Z608" t="s">
        <v>669</v>
      </c>
    </row>
    <row r="609" spans="1:26" x14ac:dyDescent="0.25">
      <c r="A609" s="1" t="s">
        <v>10</v>
      </c>
      <c r="J609" t="str">
        <f t="shared" ref="J609:J639" si="35">A609</f>
        <v xml:space="preserve">       (mph)     (Adv Ratio)                                       (Hp)        (In-Lbf)     (Lbf)             </v>
      </c>
      <c r="S609" t="s">
        <v>670</v>
      </c>
      <c r="T609" t="s">
        <v>1780</v>
      </c>
      <c r="U609" t="s">
        <v>1781</v>
      </c>
      <c r="V609" t="s">
        <v>672</v>
      </c>
      <c r="W609" t="s">
        <v>673</v>
      </c>
      <c r="X609" t="s">
        <v>674</v>
      </c>
    </row>
    <row r="610" spans="1:26" x14ac:dyDescent="0.25">
      <c r="A610" s="1" t="s">
        <v>1320</v>
      </c>
      <c r="J610" t="str">
        <f t="shared" si="35"/>
        <v xml:space="preserve">         0.0        0.00      0.0000      0.1345      0.0764       0.508       1.882       2.973              </v>
      </c>
      <c r="S610">
        <v>0</v>
      </c>
      <c r="T610">
        <v>0</v>
      </c>
      <c r="U610">
        <v>0</v>
      </c>
      <c r="V610">
        <v>0.13450000000000001</v>
      </c>
      <c r="W610">
        <v>7.6399999999999996E-2</v>
      </c>
      <c r="X610">
        <v>0.50800000000000001</v>
      </c>
      <c r="Y610">
        <v>1.8819999999999999</v>
      </c>
      <c r="Z610">
        <v>2.9729999999999999</v>
      </c>
    </row>
    <row r="611" spans="1:26" x14ac:dyDescent="0.25">
      <c r="A611" s="1" t="s">
        <v>1321</v>
      </c>
      <c r="J611" t="str">
        <f t="shared" si="35"/>
        <v xml:space="preserve">         3.7        0.03      0.0571      0.1342      0.0767       0.510       1.890       2.967              </v>
      </c>
      <c r="S611">
        <v>3.7</v>
      </c>
      <c r="T611">
        <v>0.03</v>
      </c>
      <c r="U611">
        <v>5.7099999999999998E-2</v>
      </c>
      <c r="V611">
        <v>0.13420000000000001</v>
      </c>
      <c r="W611">
        <v>7.6700000000000004E-2</v>
      </c>
      <c r="X611">
        <v>0.51</v>
      </c>
      <c r="Y611">
        <v>1.89</v>
      </c>
      <c r="Z611">
        <v>2.9670000000000001</v>
      </c>
    </row>
    <row r="612" spans="1:26" x14ac:dyDescent="0.25">
      <c r="A612" s="1" t="s">
        <v>1322</v>
      </c>
      <c r="J612" t="str">
        <f t="shared" si="35"/>
        <v xml:space="preserve">         7.4        0.07      0.1135      0.1339      0.0771       0.512       1.898       2.959              </v>
      </c>
      <c r="S612">
        <v>7.4</v>
      </c>
      <c r="T612">
        <v>7.0000000000000007E-2</v>
      </c>
      <c r="U612">
        <v>0.1135</v>
      </c>
      <c r="V612">
        <v>0.13389999999999999</v>
      </c>
      <c r="W612">
        <v>7.7100000000000002E-2</v>
      </c>
      <c r="X612">
        <v>0.51200000000000001</v>
      </c>
      <c r="Y612">
        <v>1.8979999999999999</v>
      </c>
      <c r="Z612">
        <v>2.9590000000000001</v>
      </c>
    </row>
    <row r="613" spans="1:26" x14ac:dyDescent="0.25">
      <c r="A613" s="1" t="s">
        <v>1323</v>
      </c>
      <c r="J613" t="str">
        <f t="shared" si="35"/>
        <v xml:space="preserve">        11.0        0.10      0.1689      0.1334      0.0774       0.514       1.907       2.949              </v>
      </c>
      <c r="S613">
        <v>11</v>
      </c>
      <c r="T613">
        <v>0.1</v>
      </c>
      <c r="U613">
        <v>0.16889999999999999</v>
      </c>
      <c r="V613">
        <v>0.13339999999999999</v>
      </c>
      <c r="W613">
        <v>7.7399999999999997E-2</v>
      </c>
      <c r="X613">
        <v>0.51400000000000001</v>
      </c>
      <c r="Y613">
        <v>1.907</v>
      </c>
      <c r="Z613">
        <v>2.9489999999999998</v>
      </c>
    </row>
    <row r="614" spans="1:26" x14ac:dyDescent="0.25">
      <c r="A614" s="1" t="s">
        <v>1324</v>
      </c>
      <c r="J614" t="str">
        <f t="shared" si="35"/>
        <v xml:space="preserve">        14.7        0.13      0.2232      0.1328      0.0778       0.517       1.915       2.936              </v>
      </c>
      <c r="S614">
        <v>14.7</v>
      </c>
      <c r="T614">
        <v>0.13</v>
      </c>
      <c r="U614">
        <v>0.22320000000000001</v>
      </c>
      <c r="V614">
        <v>0.1328</v>
      </c>
      <c r="W614">
        <v>7.7799999999999994E-2</v>
      </c>
      <c r="X614">
        <v>0.51700000000000002</v>
      </c>
      <c r="Y614">
        <v>1.915</v>
      </c>
      <c r="Z614">
        <v>2.9359999999999999</v>
      </c>
    </row>
    <row r="615" spans="1:26" x14ac:dyDescent="0.25">
      <c r="A615" s="1" t="s">
        <v>1325</v>
      </c>
      <c r="J615" t="str">
        <f t="shared" si="35"/>
        <v xml:space="preserve">        18.4        0.16      0.2763      0.1321      0.0781       0.519       1.923       2.920              </v>
      </c>
      <c r="S615">
        <v>18.399999999999999</v>
      </c>
      <c r="T615">
        <v>0.16</v>
      </c>
      <c r="U615">
        <v>0.27629999999999999</v>
      </c>
      <c r="V615">
        <v>0.1321</v>
      </c>
      <c r="W615">
        <v>7.8100000000000003E-2</v>
      </c>
      <c r="X615">
        <v>0.51900000000000002</v>
      </c>
      <c r="Y615">
        <v>1.923</v>
      </c>
      <c r="Z615">
        <v>2.92</v>
      </c>
    </row>
    <row r="616" spans="1:26" x14ac:dyDescent="0.25">
      <c r="A616" s="1" t="s">
        <v>1326</v>
      </c>
      <c r="J616" t="str">
        <f t="shared" si="35"/>
        <v xml:space="preserve">        22.1        0.20      0.3281      0.1312      0.0784       0.520       1.930       2.899              </v>
      </c>
      <c r="S616">
        <v>22.1</v>
      </c>
      <c r="T616">
        <v>0.2</v>
      </c>
      <c r="U616">
        <v>0.3281</v>
      </c>
      <c r="V616">
        <v>0.13120000000000001</v>
      </c>
      <c r="W616">
        <v>7.8399999999999997E-2</v>
      </c>
      <c r="X616">
        <v>0.52</v>
      </c>
      <c r="Y616">
        <v>1.93</v>
      </c>
      <c r="Z616">
        <v>2.899</v>
      </c>
    </row>
    <row r="617" spans="1:26" x14ac:dyDescent="0.25">
      <c r="A617" s="1" t="s">
        <v>1327</v>
      </c>
      <c r="J617" t="str">
        <f t="shared" si="35"/>
        <v xml:space="preserve">        25.8        0.23      0.3784      0.1299      0.0785       0.521       1.933       2.871              </v>
      </c>
      <c r="S617">
        <v>25.8</v>
      </c>
      <c r="T617">
        <v>0.23</v>
      </c>
      <c r="U617">
        <v>0.37840000000000001</v>
      </c>
      <c r="V617">
        <v>0.12989999999999999</v>
      </c>
      <c r="W617">
        <v>7.85E-2</v>
      </c>
      <c r="X617">
        <v>0.52100000000000002</v>
      </c>
      <c r="Y617">
        <v>1.9330000000000001</v>
      </c>
      <c r="Z617">
        <v>2.871</v>
      </c>
    </row>
    <row r="618" spans="1:26" x14ac:dyDescent="0.25">
      <c r="A618" s="1" t="s">
        <v>1328</v>
      </c>
      <c r="J618" t="str">
        <f t="shared" si="35"/>
        <v xml:space="preserve">        29.5        0.26      0.4271      0.1282      0.0784       0.521       1.932       2.833              </v>
      </c>
      <c r="S618">
        <v>29.5</v>
      </c>
      <c r="T618">
        <v>0.26</v>
      </c>
      <c r="U618">
        <v>0.42709999999999998</v>
      </c>
      <c r="V618">
        <v>0.12820000000000001</v>
      </c>
      <c r="W618">
        <v>7.8399999999999997E-2</v>
      </c>
      <c r="X618">
        <v>0.52100000000000002</v>
      </c>
      <c r="Y618">
        <v>1.9319999999999999</v>
      </c>
      <c r="Z618">
        <v>2.8330000000000002</v>
      </c>
    </row>
    <row r="619" spans="1:26" x14ac:dyDescent="0.25">
      <c r="A619" s="1" t="s">
        <v>1329</v>
      </c>
      <c r="J619" t="str">
        <f t="shared" si="35"/>
        <v xml:space="preserve">        33.1        0.29      0.4739      0.1259      0.0781       0.519       1.924       2.783              </v>
      </c>
      <c r="S619">
        <v>33.1</v>
      </c>
      <c r="T619">
        <v>0.28999999999999998</v>
      </c>
      <c r="U619">
        <v>0.47389999999999999</v>
      </c>
      <c r="V619">
        <v>0.12590000000000001</v>
      </c>
      <c r="W619">
        <v>7.8100000000000003E-2</v>
      </c>
      <c r="X619">
        <v>0.51900000000000002</v>
      </c>
      <c r="Y619">
        <v>1.9239999999999999</v>
      </c>
      <c r="Z619">
        <v>2.7829999999999999</v>
      </c>
    </row>
    <row r="620" spans="1:26" x14ac:dyDescent="0.25">
      <c r="A620" s="1" t="s">
        <v>1330</v>
      </c>
      <c r="J620" t="str">
        <f t="shared" si="35"/>
        <v xml:space="preserve">        36.8        0.33      0.5183      0.1231      0.0776       0.515       1.911       2.721              </v>
      </c>
      <c r="S620">
        <v>36.799999999999997</v>
      </c>
      <c r="T620">
        <v>0.33</v>
      </c>
      <c r="U620">
        <v>0.51829999999999998</v>
      </c>
      <c r="V620">
        <v>0.1231</v>
      </c>
      <c r="W620">
        <v>7.7600000000000002E-2</v>
      </c>
      <c r="X620">
        <v>0.51500000000000001</v>
      </c>
      <c r="Y620">
        <v>1.911</v>
      </c>
      <c r="Z620">
        <v>2.7210000000000001</v>
      </c>
    </row>
    <row r="621" spans="1:26" x14ac:dyDescent="0.25">
      <c r="A621" s="1" t="s">
        <v>1331</v>
      </c>
      <c r="J621" t="str">
        <f t="shared" si="35"/>
        <v xml:space="preserve">        40.5        0.36      0.5599      0.1197      0.0768       0.510       1.891       2.645              </v>
      </c>
      <c r="S621">
        <v>40.5</v>
      </c>
      <c r="T621">
        <v>0.36</v>
      </c>
      <c r="U621">
        <v>0.55989999999999995</v>
      </c>
      <c r="V621">
        <v>0.1197</v>
      </c>
      <c r="W621">
        <v>7.6799999999999993E-2</v>
      </c>
      <c r="X621">
        <v>0.51</v>
      </c>
      <c r="Y621">
        <v>1.891</v>
      </c>
      <c r="Z621">
        <v>2.645</v>
      </c>
    </row>
    <row r="622" spans="1:26" x14ac:dyDescent="0.25">
      <c r="A622" s="1" t="s">
        <v>1332</v>
      </c>
      <c r="J622" t="str">
        <f t="shared" si="35"/>
        <v xml:space="preserve">        44.2        0.39      0.5984      0.1156      0.0758       0.503       1.866       2.556              </v>
      </c>
      <c r="S622">
        <v>44.2</v>
      </c>
      <c r="T622">
        <v>0.39</v>
      </c>
      <c r="U622">
        <v>0.59840000000000004</v>
      </c>
      <c r="V622">
        <v>0.11559999999999999</v>
      </c>
      <c r="W622">
        <v>7.5800000000000006E-2</v>
      </c>
      <c r="X622">
        <v>0.503</v>
      </c>
      <c r="Y622">
        <v>1.8660000000000001</v>
      </c>
      <c r="Z622">
        <v>2.556</v>
      </c>
    </row>
    <row r="623" spans="1:26" x14ac:dyDescent="0.25">
      <c r="A623" s="1" t="s">
        <v>1333</v>
      </c>
      <c r="J623" t="str">
        <f t="shared" si="35"/>
        <v xml:space="preserve">        47.9        0.42      0.6340      0.1111      0.0744       0.494       1.832       2.455              </v>
      </c>
      <c r="S623">
        <v>47.9</v>
      </c>
      <c r="T623">
        <v>0.42</v>
      </c>
      <c r="U623">
        <v>0.63400000000000001</v>
      </c>
      <c r="V623">
        <v>0.1111</v>
      </c>
      <c r="W623">
        <v>7.4399999999999994E-2</v>
      </c>
      <c r="X623">
        <v>0.49399999999999999</v>
      </c>
      <c r="Y623">
        <v>1.8320000000000001</v>
      </c>
      <c r="Z623">
        <v>2.4550000000000001</v>
      </c>
    </row>
    <row r="624" spans="1:26" x14ac:dyDescent="0.25">
      <c r="A624" s="1" t="s">
        <v>1334</v>
      </c>
      <c r="J624" t="str">
        <f t="shared" si="35"/>
        <v xml:space="preserve">        51.5        0.46      0.6666      0.1059      0.0727       0.483       1.789       2.341              </v>
      </c>
      <c r="S624">
        <v>51.5</v>
      </c>
      <c r="T624">
        <v>0.46</v>
      </c>
      <c r="U624">
        <v>0.66659999999999997</v>
      </c>
      <c r="V624">
        <v>0.10589999999999999</v>
      </c>
      <c r="W624">
        <v>7.2700000000000001E-2</v>
      </c>
      <c r="X624">
        <v>0.48299999999999998</v>
      </c>
      <c r="Y624">
        <v>1.7889999999999999</v>
      </c>
      <c r="Z624">
        <v>2.3410000000000002</v>
      </c>
    </row>
    <row r="625" spans="1:26" x14ac:dyDescent="0.25">
      <c r="A625" s="1" t="s">
        <v>1335</v>
      </c>
      <c r="J625" t="str">
        <f t="shared" si="35"/>
        <v xml:space="preserve">        55.2        0.49      0.6959      0.1002      0.0706       0.469       1.738       2.215              </v>
      </c>
      <c r="S625">
        <v>55.2</v>
      </c>
      <c r="T625">
        <v>0.49</v>
      </c>
      <c r="U625">
        <v>0.69589999999999996</v>
      </c>
      <c r="V625">
        <v>0.1002</v>
      </c>
      <c r="W625">
        <v>7.0599999999999996E-2</v>
      </c>
      <c r="X625">
        <v>0.46899999999999997</v>
      </c>
      <c r="Y625">
        <v>1.738</v>
      </c>
      <c r="Z625">
        <v>2.2149999999999999</v>
      </c>
    </row>
    <row r="626" spans="1:26" x14ac:dyDescent="0.25">
      <c r="A626" s="1" t="s">
        <v>1336</v>
      </c>
      <c r="J626" t="str">
        <f t="shared" si="35"/>
        <v xml:space="preserve">        58.9        0.52      0.7223      0.0941      0.0681       0.452       1.677       2.080              </v>
      </c>
      <c r="S626">
        <v>58.9</v>
      </c>
      <c r="T626">
        <v>0.52</v>
      </c>
      <c r="U626">
        <v>0.72230000000000005</v>
      </c>
      <c r="V626">
        <v>9.4100000000000003E-2</v>
      </c>
      <c r="W626">
        <v>6.8099999999999994E-2</v>
      </c>
      <c r="X626">
        <v>0.45200000000000001</v>
      </c>
      <c r="Y626">
        <v>1.677</v>
      </c>
      <c r="Z626">
        <v>2.08</v>
      </c>
    </row>
    <row r="627" spans="1:26" x14ac:dyDescent="0.25">
      <c r="A627" s="1" t="s">
        <v>1337</v>
      </c>
      <c r="J627" t="str">
        <f t="shared" si="35"/>
        <v xml:space="preserve">        62.6        0.56      0.7460      0.0878      0.0654       0.434       1.610       1.941              </v>
      </c>
      <c r="S627">
        <v>62.6</v>
      </c>
      <c r="T627">
        <v>0.56000000000000005</v>
      </c>
      <c r="U627">
        <v>0.746</v>
      </c>
      <c r="V627">
        <v>8.7800000000000003E-2</v>
      </c>
      <c r="W627">
        <v>6.54E-2</v>
      </c>
      <c r="X627">
        <v>0.434</v>
      </c>
      <c r="Y627">
        <v>1.61</v>
      </c>
      <c r="Z627">
        <v>1.9410000000000001</v>
      </c>
    </row>
    <row r="628" spans="1:26" x14ac:dyDescent="0.25">
      <c r="A628" s="1" t="s">
        <v>1338</v>
      </c>
      <c r="J628" t="str">
        <f t="shared" si="35"/>
        <v xml:space="preserve">        66.3        0.59      0.7672      0.0813      0.0623       0.414       1.535       1.798              </v>
      </c>
      <c r="S628">
        <v>66.3</v>
      </c>
      <c r="T628">
        <v>0.59</v>
      </c>
      <c r="U628">
        <v>0.76719999999999999</v>
      </c>
      <c r="V628">
        <v>8.1299999999999997E-2</v>
      </c>
      <c r="W628">
        <v>6.2300000000000001E-2</v>
      </c>
      <c r="X628">
        <v>0.41399999999999998</v>
      </c>
      <c r="Y628">
        <v>1.5349999999999999</v>
      </c>
      <c r="Z628">
        <v>1.798</v>
      </c>
    </row>
    <row r="629" spans="1:26" x14ac:dyDescent="0.25">
      <c r="A629" s="1" t="s">
        <v>1339</v>
      </c>
      <c r="J629" t="str">
        <f t="shared" si="35"/>
        <v xml:space="preserve">        70.0        0.62      0.7860      0.0747      0.0590       0.392       1.453       1.652              </v>
      </c>
      <c r="S629">
        <v>70</v>
      </c>
      <c r="T629">
        <v>0.62</v>
      </c>
      <c r="U629">
        <v>0.78600000000000003</v>
      </c>
      <c r="V629">
        <v>7.4700000000000003E-2</v>
      </c>
      <c r="W629">
        <v>5.8999999999999997E-2</v>
      </c>
      <c r="X629">
        <v>0.39200000000000002</v>
      </c>
      <c r="Y629">
        <v>1.4530000000000001</v>
      </c>
      <c r="Z629">
        <v>1.6519999999999999</v>
      </c>
    </row>
    <row r="630" spans="1:26" x14ac:dyDescent="0.25">
      <c r="A630" s="1" t="s">
        <v>1340</v>
      </c>
      <c r="J630" t="str">
        <f t="shared" si="35"/>
        <v xml:space="preserve">        73.6        0.65      0.8023      0.0680      0.0554       0.368       1.363       1.502              </v>
      </c>
      <c r="S630">
        <v>73.599999999999994</v>
      </c>
      <c r="T630">
        <v>0.65</v>
      </c>
      <c r="U630">
        <v>0.80230000000000001</v>
      </c>
      <c r="V630">
        <v>6.8000000000000005E-2</v>
      </c>
      <c r="W630">
        <v>5.5399999999999998E-2</v>
      </c>
      <c r="X630">
        <v>0.36799999999999999</v>
      </c>
      <c r="Y630">
        <v>1.363</v>
      </c>
      <c r="Z630">
        <v>1.502</v>
      </c>
    </row>
    <row r="631" spans="1:26" x14ac:dyDescent="0.25">
      <c r="A631" s="1" t="s">
        <v>1341</v>
      </c>
      <c r="J631" t="str">
        <f t="shared" si="35"/>
        <v xml:space="preserve">        77.3        0.69      0.8161      0.0610      0.0513       0.341       1.264       1.349              </v>
      </c>
      <c r="S631">
        <v>77.3</v>
      </c>
      <c r="T631">
        <v>0.69</v>
      </c>
      <c r="U631">
        <v>0.81610000000000005</v>
      </c>
      <c r="V631">
        <v>6.0999999999999999E-2</v>
      </c>
      <c r="W631">
        <v>5.1299999999999998E-2</v>
      </c>
      <c r="X631">
        <v>0.34100000000000003</v>
      </c>
      <c r="Y631">
        <v>1.264</v>
      </c>
      <c r="Z631">
        <v>1.349</v>
      </c>
    </row>
    <row r="632" spans="1:26" x14ac:dyDescent="0.25">
      <c r="A632" s="1" t="s">
        <v>1342</v>
      </c>
      <c r="J632" t="str">
        <f t="shared" si="35"/>
        <v xml:space="preserve">        81.0        0.72      0.8264      0.0540      0.0469       0.312       1.156       1.193              </v>
      </c>
      <c r="S632">
        <v>81</v>
      </c>
      <c r="T632">
        <v>0.72</v>
      </c>
      <c r="U632">
        <v>0.82640000000000002</v>
      </c>
      <c r="V632">
        <v>5.3999999999999999E-2</v>
      </c>
      <c r="W632">
        <v>4.6899999999999997E-2</v>
      </c>
      <c r="X632">
        <v>0.312</v>
      </c>
      <c r="Y632">
        <v>1.1559999999999999</v>
      </c>
      <c r="Z632">
        <v>1.1930000000000001</v>
      </c>
    </row>
    <row r="633" spans="1:26" x14ac:dyDescent="0.25">
      <c r="A633" s="1" t="s">
        <v>1343</v>
      </c>
      <c r="J633" t="str">
        <f t="shared" si="35"/>
        <v xml:space="preserve">        84.7        0.75      0.8325      0.0467      0.0422       0.280       1.038       1.032              </v>
      </c>
      <c r="S633">
        <v>84.7</v>
      </c>
      <c r="T633">
        <v>0.75</v>
      </c>
      <c r="U633">
        <v>0.83250000000000002</v>
      </c>
      <c r="V633">
        <v>4.6699999999999998E-2</v>
      </c>
      <c r="W633">
        <v>4.2200000000000001E-2</v>
      </c>
      <c r="X633">
        <v>0.28000000000000003</v>
      </c>
      <c r="Y633">
        <v>1.038</v>
      </c>
      <c r="Z633">
        <v>1.032</v>
      </c>
    </row>
    <row r="634" spans="1:26" x14ac:dyDescent="0.25">
      <c r="A634" s="1" t="s">
        <v>1344</v>
      </c>
      <c r="J634" t="str">
        <f t="shared" si="35"/>
        <v xml:space="preserve">        88.4        0.78      0.8342      0.0393      0.0369       0.245       0.910       0.869              </v>
      </c>
      <c r="S634">
        <v>88.4</v>
      </c>
      <c r="T634">
        <v>0.78</v>
      </c>
      <c r="U634">
        <v>0.83420000000000005</v>
      </c>
      <c r="V634">
        <v>3.9300000000000002E-2</v>
      </c>
      <c r="W634">
        <v>3.6900000000000002E-2</v>
      </c>
      <c r="X634">
        <v>0.245</v>
      </c>
      <c r="Y634">
        <v>0.91</v>
      </c>
      <c r="Z634">
        <v>0.86899999999999999</v>
      </c>
    </row>
    <row r="635" spans="1:26" x14ac:dyDescent="0.25">
      <c r="A635" s="1" t="s">
        <v>1345</v>
      </c>
      <c r="J635" t="str">
        <f t="shared" si="35"/>
        <v xml:space="preserve">        92.0        0.82      0.8287      0.0317      0.0313       0.208       0.770       0.701              </v>
      </c>
      <c r="S635">
        <v>92</v>
      </c>
      <c r="T635">
        <v>0.82</v>
      </c>
      <c r="U635">
        <v>0.82869999999999999</v>
      </c>
      <c r="V635">
        <v>3.1699999999999999E-2</v>
      </c>
      <c r="W635">
        <v>3.1300000000000001E-2</v>
      </c>
      <c r="X635">
        <v>0.20799999999999999</v>
      </c>
      <c r="Y635">
        <v>0.77</v>
      </c>
      <c r="Z635">
        <v>0.70099999999999996</v>
      </c>
    </row>
    <row r="636" spans="1:26" x14ac:dyDescent="0.25">
      <c r="A636" s="1" t="s">
        <v>1346</v>
      </c>
      <c r="J636" t="str">
        <f t="shared" si="35"/>
        <v xml:space="preserve">        95.7        0.85      0.8083      0.0240      0.0252       0.168       0.621       0.530              </v>
      </c>
      <c r="S636">
        <v>95.7</v>
      </c>
      <c r="T636">
        <v>0.85</v>
      </c>
      <c r="U636">
        <v>0.80830000000000002</v>
      </c>
      <c r="V636">
        <v>2.4E-2</v>
      </c>
      <c r="W636">
        <v>2.52E-2</v>
      </c>
      <c r="X636">
        <v>0.16800000000000001</v>
      </c>
      <c r="Y636">
        <v>0.621</v>
      </c>
      <c r="Z636">
        <v>0.53</v>
      </c>
    </row>
    <row r="637" spans="1:26" x14ac:dyDescent="0.25">
      <c r="A637" s="1" t="s">
        <v>1347</v>
      </c>
      <c r="J637" t="str">
        <f t="shared" si="35"/>
        <v xml:space="preserve">        99.4        0.88      0.7595      0.0162      0.0188       0.125       0.462       0.357              </v>
      </c>
      <c r="S637">
        <v>99.4</v>
      </c>
      <c r="T637">
        <v>0.88</v>
      </c>
      <c r="U637">
        <v>0.75949999999999995</v>
      </c>
      <c r="V637">
        <v>1.6199999999999999E-2</v>
      </c>
      <c r="W637">
        <v>1.8800000000000001E-2</v>
      </c>
      <c r="X637">
        <v>0.125</v>
      </c>
      <c r="Y637">
        <v>0.46200000000000002</v>
      </c>
      <c r="Z637">
        <v>0.35699999999999998</v>
      </c>
    </row>
    <row r="638" spans="1:26" x14ac:dyDescent="0.25">
      <c r="A638" s="1" t="s">
        <v>1348</v>
      </c>
      <c r="J638" t="str">
        <f t="shared" si="35"/>
        <v xml:space="preserve">       103.1        0.91      0.6260      0.0081      0.0119       0.079       0.292       0.179              </v>
      </c>
      <c r="S638">
        <v>103.1</v>
      </c>
      <c r="T638">
        <v>0.91</v>
      </c>
      <c r="U638">
        <v>0.626</v>
      </c>
      <c r="V638">
        <v>8.0999999999999996E-3</v>
      </c>
      <c r="W638">
        <v>1.1900000000000001E-2</v>
      </c>
      <c r="X638">
        <v>7.9000000000000001E-2</v>
      </c>
      <c r="Y638">
        <v>0.29199999999999998</v>
      </c>
      <c r="Z638">
        <v>0.17899999999999999</v>
      </c>
    </row>
    <row r="639" spans="1:26" x14ac:dyDescent="0.25">
      <c r="A639" s="1" t="s">
        <v>1349</v>
      </c>
      <c r="J639" t="str">
        <f t="shared" si="35"/>
        <v xml:space="preserve">       106.8        0.95     -0.0018      0.0000      0.0053       0.035       0.131       0.000              </v>
      </c>
      <c r="S639">
        <v>106.8</v>
      </c>
      <c r="T639">
        <v>0.95</v>
      </c>
      <c r="U639">
        <v>-1.8E-3</v>
      </c>
      <c r="V639">
        <v>0</v>
      </c>
      <c r="W639">
        <v>5.3E-3</v>
      </c>
      <c r="X639">
        <v>3.5000000000000003E-2</v>
      </c>
      <c r="Y639">
        <v>0.13100000000000001</v>
      </c>
      <c r="Z639">
        <v>0</v>
      </c>
    </row>
    <row r="640" spans="1:26" x14ac:dyDescent="0.25">
      <c r="A640" s="1" t="s">
        <v>1</v>
      </c>
    </row>
    <row r="641" spans="1:26" x14ac:dyDescent="0.25">
      <c r="A641" s="1" t="s">
        <v>1</v>
      </c>
    </row>
    <row r="642" spans="1:26" x14ac:dyDescent="0.25">
      <c r="A642" s="1" t="s">
        <v>1</v>
      </c>
    </row>
    <row r="643" spans="1:26" x14ac:dyDescent="0.25">
      <c r="A643" s="1" t="s">
        <v>537</v>
      </c>
    </row>
    <row r="644" spans="1:26" x14ac:dyDescent="0.25">
      <c r="A644" s="1" t="s">
        <v>1</v>
      </c>
    </row>
    <row r="645" spans="1:26" x14ac:dyDescent="0.25">
      <c r="A645" s="1" t="s">
        <v>9</v>
      </c>
      <c r="J645" t="str">
        <f>A645</f>
        <v xml:space="preserve">         V          J           Pe         Ct          Cp          PWR         Torque      Thrust             </v>
      </c>
      <c r="S645" t="s">
        <v>662</v>
      </c>
      <c r="T645" t="s">
        <v>663</v>
      </c>
      <c r="U645" t="s">
        <v>664</v>
      </c>
      <c r="V645" t="s">
        <v>665</v>
      </c>
      <c r="W645" t="s">
        <v>666</v>
      </c>
      <c r="X645" t="s">
        <v>667</v>
      </c>
      <c r="Y645" t="s">
        <v>668</v>
      </c>
      <c r="Z645" t="s">
        <v>669</v>
      </c>
    </row>
    <row r="646" spans="1:26" x14ac:dyDescent="0.25">
      <c r="A646" s="1" t="s">
        <v>10</v>
      </c>
      <c r="J646" t="str">
        <f t="shared" ref="J646:J676" si="36">A646</f>
        <v xml:space="preserve">       (mph)     (Adv Ratio)                                       (Hp)        (In-Lbf)     (Lbf)             </v>
      </c>
      <c r="S646" t="s">
        <v>670</v>
      </c>
      <c r="T646" t="s">
        <v>1780</v>
      </c>
      <c r="U646" t="s">
        <v>1781</v>
      </c>
      <c r="V646" t="s">
        <v>672</v>
      </c>
      <c r="W646" t="s">
        <v>673</v>
      </c>
      <c r="X646" t="s">
        <v>674</v>
      </c>
    </row>
    <row r="647" spans="1:26" x14ac:dyDescent="0.25">
      <c r="A647" s="1" t="s">
        <v>1350</v>
      </c>
      <c r="J647" t="str">
        <f t="shared" si="36"/>
        <v xml:space="preserve">         0.0        0.00      0.0000      0.1358      0.0868       0.684       2.396       3.366              </v>
      </c>
      <c r="S647">
        <v>0</v>
      </c>
      <c r="T647">
        <v>0</v>
      </c>
      <c r="U647">
        <v>0</v>
      </c>
      <c r="V647">
        <v>0.1358</v>
      </c>
      <c r="W647">
        <v>8.6800000000000002E-2</v>
      </c>
      <c r="X647">
        <v>0.68400000000000005</v>
      </c>
      <c r="Y647">
        <v>2.3959999999999999</v>
      </c>
      <c r="Z647">
        <v>3.3660000000000001</v>
      </c>
    </row>
    <row r="648" spans="1:26" x14ac:dyDescent="0.25">
      <c r="A648" s="1" t="s">
        <v>1351</v>
      </c>
      <c r="J648" t="str">
        <f t="shared" si="36"/>
        <v xml:space="preserve">         3.9        0.03      0.0514      0.1355      0.0862       0.680       2.381       3.359              </v>
      </c>
      <c r="S648">
        <v>3.9</v>
      </c>
      <c r="T648">
        <v>0.03</v>
      </c>
      <c r="U648">
        <v>5.1400000000000001E-2</v>
      </c>
      <c r="V648">
        <v>0.13550000000000001</v>
      </c>
      <c r="W648">
        <v>8.6199999999999999E-2</v>
      </c>
      <c r="X648">
        <v>0.68</v>
      </c>
      <c r="Y648">
        <v>2.3809999999999998</v>
      </c>
      <c r="Z648">
        <v>3.359</v>
      </c>
    </row>
    <row r="649" spans="1:26" x14ac:dyDescent="0.25">
      <c r="A649" s="1" t="s">
        <v>1352</v>
      </c>
      <c r="J649" t="str">
        <f t="shared" si="36"/>
        <v xml:space="preserve">         7.8        0.07      0.1031      0.1352      0.0857       0.676       2.367       3.350              </v>
      </c>
      <c r="S649">
        <v>7.8</v>
      </c>
      <c r="T649">
        <v>7.0000000000000007E-2</v>
      </c>
      <c r="U649">
        <v>0.1031</v>
      </c>
      <c r="V649">
        <v>0.13519999999999999</v>
      </c>
      <c r="W649">
        <v>8.5699999999999998E-2</v>
      </c>
      <c r="X649">
        <v>0.67600000000000005</v>
      </c>
      <c r="Y649">
        <v>2.367</v>
      </c>
      <c r="Z649">
        <v>3.35</v>
      </c>
    </row>
    <row r="650" spans="1:26" x14ac:dyDescent="0.25">
      <c r="A650" s="1" t="s">
        <v>1353</v>
      </c>
      <c r="J650" t="str">
        <f t="shared" si="36"/>
        <v xml:space="preserve">        11.7        0.10      0.1549      0.1347      0.0853       0.673       2.355       3.339              </v>
      </c>
      <c r="S650">
        <v>11.7</v>
      </c>
      <c r="T650">
        <v>0.1</v>
      </c>
      <c r="U650">
        <v>0.15490000000000001</v>
      </c>
      <c r="V650">
        <v>0.13469999999999999</v>
      </c>
      <c r="W650">
        <v>8.5300000000000001E-2</v>
      </c>
      <c r="X650">
        <v>0.67300000000000004</v>
      </c>
      <c r="Y650">
        <v>2.355</v>
      </c>
      <c r="Z650">
        <v>3.339</v>
      </c>
    </row>
    <row r="651" spans="1:26" x14ac:dyDescent="0.25">
      <c r="A651" s="1" t="s">
        <v>1354</v>
      </c>
      <c r="J651" t="str">
        <f t="shared" si="36"/>
        <v xml:space="preserve">        15.6        0.13      0.2070      0.1341      0.0847       0.668       2.340       3.324              </v>
      </c>
      <c r="S651">
        <v>15.6</v>
      </c>
      <c r="T651">
        <v>0.13</v>
      </c>
      <c r="U651">
        <v>0.20699999999999999</v>
      </c>
      <c r="V651">
        <v>0.1341</v>
      </c>
      <c r="W651">
        <v>8.4699999999999998E-2</v>
      </c>
      <c r="X651">
        <v>0.66800000000000004</v>
      </c>
      <c r="Y651">
        <v>2.34</v>
      </c>
      <c r="Z651">
        <v>3.3239999999999998</v>
      </c>
    </row>
    <row r="652" spans="1:26" x14ac:dyDescent="0.25">
      <c r="A652" s="1" t="s">
        <v>1355</v>
      </c>
      <c r="J652" t="str">
        <f t="shared" si="36"/>
        <v xml:space="preserve">        19.5        0.16      0.2591      0.1334      0.0842       0.664       2.324       3.305              </v>
      </c>
      <c r="S652">
        <v>19.5</v>
      </c>
      <c r="T652">
        <v>0.16</v>
      </c>
      <c r="U652">
        <v>0.2591</v>
      </c>
      <c r="V652">
        <v>0.13339999999999999</v>
      </c>
      <c r="W652">
        <v>8.4199999999999997E-2</v>
      </c>
      <c r="X652">
        <v>0.66400000000000003</v>
      </c>
      <c r="Y652">
        <v>2.3239999999999998</v>
      </c>
      <c r="Z652">
        <v>3.3050000000000002</v>
      </c>
    </row>
    <row r="653" spans="1:26" x14ac:dyDescent="0.25">
      <c r="A653" s="1" t="s">
        <v>1356</v>
      </c>
      <c r="J653" t="str">
        <f t="shared" si="36"/>
        <v xml:space="preserve">        23.4        0.20      0.3109      0.1324      0.0836       0.659       2.308       3.282              </v>
      </c>
      <c r="S653">
        <v>23.4</v>
      </c>
      <c r="T653">
        <v>0.2</v>
      </c>
      <c r="U653">
        <v>0.31090000000000001</v>
      </c>
      <c r="V653">
        <v>0.13239999999999999</v>
      </c>
      <c r="W653">
        <v>8.3599999999999994E-2</v>
      </c>
      <c r="X653">
        <v>0.65900000000000003</v>
      </c>
      <c r="Y653">
        <v>2.3079999999999998</v>
      </c>
      <c r="Z653">
        <v>3.282</v>
      </c>
    </row>
    <row r="654" spans="1:26" x14ac:dyDescent="0.25">
      <c r="A654" s="1" t="s">
        <v>1357</v>
      </c>
      <c r="J654" t="str">
        <f t="shared" si="36"/>
        <v xml:space="preserve">        27.3        0.23      0.3622      0.1312      0.0829       0.654       2.290       3.252              </v>
      </c>
      <c r="S654">
        <v>27.3</v>
      </c>
      <c r="T654">
        <v>0.23</v>
      </c>
      <c r="U654">
        <v>0.36220000000000002</v>
      </c>
      <c r="V654">
        <v>0.13120000000000001</v>
      </c>
      <c r="W654">
        <v>8.2900000000000001E-2</v>
      </c>
      <c r="X654">
        <v>0.65400000000000003</v>
      </c>
      <c r="Y654">
        <v>2.29</v>
      </c>
      <c r="Z654">
        <v>3.2519999999999998</v>
      </c>
    </row>
    <row r="655" spans="1:26" x14ac:dyDescent="0.25">
      <c r="A655" s="1" t="s">
        <v>1358</v>
      </c>
      <c r="J655" t="str">
        <f t="shared" si="36"/>
        <v xml:space="preserve">        31.2        0.26      0.4129      0.1295      0.0821       0.647       2.265       3.209              </v>
      </c>
      <c r="S655">
        <v>31.2</v>
      </c>
      <c r="T655">
        <v>0.26</v>
      </c>
      <c r="U655">
        <v>0.41289999999999999</v>
      </c>
      <c r="V655">
        <v>0.1295</v>
      </c>
      <c r="W655">
        <v>8.2100000000000006E-2</v>
      </c>
      <c r="X655">
        <v>0.64700000000000002</v>
      </c>
      <c r="Y655">
        <v>2.2650000000000001</v>
      </c>
      <c r="Z655">
        <v>3.2090000000000001</v>
      </c>
    </row>
    <row r="656" spans="1:26" x14ac:dyDescent="0.25">
      <c r="A656" s="1" t="s">
        <v>1359</v>
      </c>
      <c r="J656" t="str">
        <f t="shared" si="36"/>
        <v xml:space="preserve">        35.1        0.29      0.4623      0.1272      0.0810       0.639       2.236       3.153              </v>
      </c>
      <c r="S656">
        <v>35.1</v>
      </c>
      <c r="T656">
        <v>0.28999999999999998</v>
      </c>
      <c r="U656">
        <v>0.46229999999999999</v>
      </c>
      <c r="V656">
        <v>0.12720000000000001</v>
      </c>
      <c r="W656">
        <v>8.1000000000000003E-2</v>
      </c>
      <c r="X656">
        <v>0.63900000000000001</v>
      </c>
      <c r="Y656">
        <v>2.2360000000000002</v>
      </c>
      <c r="Z656">
        <v>3.153</v>
      </c>
    </row>
    <row r="657" spans="1:26" x14ac:dyDescent="0.25">
      <c r="A657" s="1" t="s">
        <v>1360</v>
      </c>
      <c r="J657" t="str">
        <f t="shared" si="36"/>
        <v xml:space="preserve">        39.0        0.33      0.5096      0.1243      0.0797       0.629       2.202       3.080              </v>
      </c>
      <c r="S657">
        <v>39</v>
      </c>
      <c r="T657">
        <v>0.33</v>
      </c>
      <c r="U657">
        <v>0.50960000000000005</v>
      </c>
      <c r="V657">
        <v>0.12429999999999999</v>
      </c>
      <c r="W657">
        <v>7.9699999999999993E-2</v>
      </c>
      <c r="X657">
        <v>0.629</v>
      </c>
      <c r="Y657">
        <v>2.202</v>
      </c>
      <c r="Z657">
        <v>3.08</v>
      </c>
    </row>
    <row r="658" spans="1:26" x14ac:dyDescent="0.25">
      <c r="A658" s="1" t="s">
        <v>1361</v>
      </c>
      <c r="J658" t="str">
        <f t="shared" si="36"/>
        <v xml:space="preserve">        42.9        0.36      0.5539      0.1208      0.0784       0.618       2.165       2.992              </v>
      </c>
      <c r="S658">
        <v>42.9</v>
      </c>
      <c r="T658">
        <v>0.36</v>
      </c>
      <c r="U658">
        <v>0.55389999999999995</v>
      </c>
      <c r="V658">
        <v>0.1208</v>
      </c>
      <c r="W658">
        <v>7.8399999999999997E-2</v>
      </c>
      <c r="X658">
        <v>0.61799999999999999</v>
      </c>
      <c r="Y658">
        <v>2.165</v>
      </c>
      <c r="Z658">
        <v>2.992</v>
      </c>
    </row>
    <row r="659" spans="1:26" x14ac:dyDescent="0.25">
      <c r="A659" s="1" t="s">
        <v>1362</v>
      </c>
      <c r="J659" t="str">
        <f t="shared" si="36"/>
        <v xml:space="preserve">        46.8        0.39      0.5949      0.1166      0.0769       0.606       2.123       2.889              </v>
      </c>
      <c r="S659">
        <v>46.8</v>
      </c>
      <c r="T659">
        <v>0.39</v>
      </c>
      <c r="U659">
        <v>0.59489999999999998</v>
      </c>
      <c r="V659">
        <v>0.1166</v>
      </c>
      <c r="W659">
        <v>7.6899999999999996E-2</v>
      </c>
      <c r="X659">
        <v>0.60599999999999998</v>
      </c>
      <c r="Y659">
        <v>2.1230000000000002</v>
      </c>
      <c r="Z659">
        <v>2.8889999999999998</v>
      </c>
    </row>
    <row r="660" spans="1:26" x14ac:dyDescent="0.25">
      <c r="A660" s="1" t="s">
        <v>1363</v>
      </c>
      <c r="J660" t="str">
        <f t="shared" si="36"/>
        <v xml:space="preserve">        50.7        0.43      0.6324      0.1119      0.0752       0.593       2.077       2.773              </v>
      </c>
      <c r="S660">
        <v>50.7</v>
      </c>
      <c r="T660">
        <v>0.43</v>
      </c>
      <c r="U660">
        <v>0.63239999999999996</v>
      </c>
      <c r="V660">
        <v>0.1119</v>
      </c>
      <c r="W660">
        <v>7.5200000000000003E-2</v>
      </c>
      <c r="X660">
        <v>0.59299999999999997</v>
      </c>
      <c r="Y660">
        <v>2.077</v>
      </c>
      <c r="Z660">
        <v>2.7730000000000001</v>
      </c>
    </row>
    <row r="661" spans="1:26" x14ac:dyDescent="0.25">
      <c r="A661" s="1" t="s">
        <v>1364</v>
      </c>
      <c r="J661" t="str">
        <f t="shared" si="36"/>
        <v xml:space="preserve">        54.6        0.46      0.6663      0.1066      0.0732       0.578       2.022       2.641              </v>
      </c>
      <c r="S661">
        <v>54.6</v>
      </c>
      <c r="T661">
        <v>0.46</v>
      </c>
      <c r="U661">
        <v>0.6663</v>
      </c>
      <c r="V661">
        <v>0.1066</v>
      </c>
      <c r="W661">
        <v>7.3200000000000001E-2</v>
      </c>
      <c r="X661">
        <v>0.57799999999999996</v>
      </c>
      <c r="Y661">
        <v>2.0219999999999998</v>
      </c>
      <c r="Z661">
        <v>2.641</v>
      </c>
    </row>
    <row r="662" spans="1:26" x14ac:dyDescent="0.25">
      <c r="A662" s="1" t="s">
        <v>1365</v>
      </c>
      <c r="J662" t="str">
        <f t="shared" si="36"/>
        <v xml:space="preserve">        58.5        0.49      0.6965      0.1008      0.0710       0.560       1.960       2.498              </v>
      </c>
      <c r="S662">
        <v>58.5</v>
      </c>
      <c r="T662">
        <v>0.49</v>
      </c>
      <c r="U662">
        <v>0.69650000000000001</v>
      </c>
      <c r="V662">
        <v>0.1008</v>
      </c>
      <c r="W662">
        <v>7.0999999999999994E-2</v>
      </c>
      <c r="X662">
        <v>0.56000000000000005</v>
      </c>
      <c r="Y662">
        <v>1.96</v>
      </c>
      <c r="Z662">
        <v>2.4980000000000002</v>
      </c>
    </row>
    <row r="663" spans="1:26" x14ac:dyDescent="0.25">
      <c r="A663" s="1" t="s">
        <v>1366</v>
      </c>
      <c r="J663" t="str">
        <f t="shared" si="36"/>
        <v xml:space="preserve">        62.4        0.52      0.7233      0.0946      0.0685       0.540       1.890       2.345              </v>
      </c>
      <c r="S663">
        <v>62.4</v>
      </c>
      <c r="T663">
        <v>0.52</v>
      </c>
      <c r="U663">
        <v>0.72330000000000005</v>
      </c>
      <c r="V663">
        <v>9.4600000000000004E-2</v>
      </c>
      <c r="W663">
        <v>6.8500000000000005E-2</v>
      </c>
      <c r="X663">
        <v>0.54</v>
      </c>
      <c r="Y663">
        <v>1.89</v>
      </c>
      <c r="Z663">
        <v>2.3450000000000002</v>
      </c>
    </row>
    <row r="664" spans="1:26" x14ac:dyDescent="0.25">
      <c r="A664" s="1" t="s">
        <v>1367</v>
      </c>
      <c r="J664" t="str">
        <f t="shared" si="36"/>
        <v xml:space="preserve">        66.3        0.56      0.7473      0.0882      0.0657       0.518       1.813       2.187              </v>
      </c>
      <c r="S664">
        <v>66.3</v>
      </c>
      <c r="T664">
        <v>0.56000000000000005</v>
      </c>
      <c r="U664">
        <v>0.74729999999999996</v>
      </c>
      <c r="V664">
        <v>8.8200000000000001E-2</v>
      </c>
      <c r="W664">
        <v>6.5699999999999995E-2</v>
      </c>
      <c r="X664">
        <v>0.51800000000000002</v>
      </c>
      <c r="Y664">
        <v>1.8129999999999999</v>
      </c>
      <c r="Z664">
        <v>2.1869999999999998</v>
      </c>
    </row>
    <row r="665" spans="1:26" x14ac:dyDescent="0.25">
      <c r="A665" s="1" t="s">
        <v>1368</v>
      </c>
      <c r="J665" t="str">
        <f t="shared" si="36"/>
        <v xml:space="preserve">        70.2        0.59      0.7688      0.0817      0.0626       0.493       1.727       2.025              </v>
      </c>
      <c r="S665">
        <v>70.2</v>
      </c>
      <c r="T665">
        <v>0.59</v>
      </c>
      <c r="U665">
        <v>0.76880000000000004</v>
      </c>
      <c r="V665">
        <v>8.1699999999999995E-2</v>
      </c>
      <c r="W665">
        <v>6.2600000000000003E-2</v>
      </c>
      <c r="X665">
        <v>0.49299999999999999</v>
      </c>
      <c r="Y665">
        <v>1.7270000000000001</v>
      </c>
      <c r="Z665">
        <v>2.0249999999999999</v>
      </c>
    </row>
    <row r="666" spans="1:26" x14ac:dyDescent="0.25">
      <c r="A666" s="1" t="s">
        <v>1369</v>
      </c>
      <c r="J666" t="str">
        <f t="shared" si="36"/>
        <v xml:space="preserve">        74.1        0.62      0.7880      0.0751      0.0592       0.467       1.634       1.860              </v>
      </c>
      <c r="S666">
        <v>74.099999999999994</v>
      </c>
      <c r="T666">
        <v>0.62</v>
      </c>
      <c r="U666">
        <v>0.78800000000000003</v>
      </c>
      <c r="V666">
        <v>7.51E-2</v>
      </c>
      <c r="W666">
        <v>5.9200000000000003E-2</v>
      </c>
      <c r="X666">
        <v>0.46700000000000003</v>
      </c>
      <c r="Y666">
        <v>1.6339999999999999</v>
      </c>
      <c r="Z666">
        <v>1.86</v>
      </c>
    </row>
    <row r="667" spans="1:26" x14ac:dyDescent="0.25">
      <c r="A667" s="1" t="s">
        <v>1370</v>
      </c>
      <c r="J667" t="str">
        <f t="shared" si="36"/>
        <v xml:space="preserve">        78.0        0.65      0.8046      0.0682      0.0555       0.437       1.532       1.691              </v>
      </c>
      <c r="S667">
        <v>78</v>
      </c>
      <c r="T667">
        <v>0.65</v>
      </c>
      <c r="U667">
        <v>0.80459999999999998</v>
      </c>
      <c r="V667">
        <v>6.8199999999999997E-2</v>
      </c>
      <c r="W667">
        <v>5.5500000000000001E-2</v>
      </c>
      <c r="X667">
        <v>0.437</v>
      </c>
      <c r="Y667">
        <v>1.532</v>
      </c>
      <c r="Z667">
        <v>1.6910000000000001</v>
      </c>
    </row>
    <row r="668" spans="1:26" x14ac:dyDescent="0.25">
      <c r="A668" s="1" t="s">
        <v>1371</v>
      </c>
      <c r="J668" t="str">
        <f t="shared" si="36"/>
        <v xml:space="preserve">        81.9        0.69      0.8188      0.0613      0.0514       0.405       1.419       1.518              </v>
      </c>
      <c r="S668">
        <v>81.900000000000006</v>
      </c>
      <c r="T668">
        <v>0.69</v>
      </c>
      <c r="U668">
        <v>0.81879999999999997</v>
      </c>
      <c r="V668">
        <v>6.13E-2</v>
      </c>
      <c r="W668">
        <v>5.1400000000000001E-2</v>
      </c>
      <c r="X668">
        <v>0.40500000000000003</v>
      </c>
      <c r="Y668">
        <v>1.419</v>
      </c>
      <c r="Z668">
        <v>1.518</v>
      </c>
    </row>
    <row r="669" spans="1:26" x14ac:dyDescent="0.25">
      <c r="A669" s="1" t="s">
        <v>1372</v>
      </c>
      <c r="J669" t="str">
        <f t="shared" si="36"/>
        <v xml:space="preserve">        85.8        0.72      0.8296      0.0541      0.0469       0.370       1.296       1.341              </v>
      </c>
      <c r="S669">
        <v>85.8</v>
      </c>
      <c r="T669">
        <v>0.72</v>
      </c>
      <c r="U669">
        <v>0.8296</v>
      </c>
      <c r="V669">
        <v>5.4100000000000002E-2</v>
      </c>
      <c r="W669">
        <v>4.6899999999999997E-2</v>
      </c>
      <c r="X669">
        <v>0.37</v>
      </c>
      <c r="Y669">
        <v>1.296</v>
      </c>
      <c r="Z669">
        <v>1.341</v>
      </c>
    </row>
    <row r="670" spans="1:26" x14ac:dyDescent="0.25">
      <c r="A670" s="1" t="s">
        <v>1373</v>
      </c>
      <c r="J670" t="str">
        <f t="shared" si="36"/>
        <v xml:space="preserve">        89.7        0.75      0.8360      0.0468      0.0421       0.332       1.163       1.160              </v>
      </c>
      <c r="S670">
        <v>89.7</v>
      </c>
      <c r="T670">
        <v>0.75</v>
      </c>
      <c r="U670">
        <v>0.83599999999999997</v>
      </c>
      <c r="V670">
        <v>4.6800000000000001E-2</v>
      </c>
      <c r="W670">
        <v>4.2099999999999999E-2</v>
      </c>
      <c r="X670">
        <v>0.33200000000000002</v>
      </c>
      <c r="Y670">
        <v>1.163</v>
      </c>
      <c r="Z670">
        <v>1.1599999999999999</v>
      </c>
    </row>
    <row r="671" spans="1:26" x14ac:dyDescent="0.25">
      <c r="A671" s="1" t="s">
        <v>1374</v>
      </c>
      <c r="J671" t="str">
        <f t="shared" si="36"/>
        <v xml:space="preserve">        93.6        0.78      0.8382      0.0393      0.0368       0.290       1.017       0.975              </v>
      </c>
      <c r="S671">
        <v>93.6</v>
      </c>
      <c r="T671">
        <v>0.78</v>
      </c>
      <c r="U671">
        <v>0.83819999999999995</v>
      </c>
      <c r="V671">
        <v>3.9300000000000002E-2</v>
      </c>
      <c r="W671">
        <v>3.6799999999999999E-2</v>
      </c>
      <c r="X671">
        <v>0.28999999999999998</v>
      </c>
      <c r="Y671">
        <v>1.0169999999999999</v>
      </c>
      <c r="Z671">
        <v>0.97499999999999998</v>
      </c>
    </row>
    <row r="672" spans="1:26" x14ac:dyDescent="0.25">
      <c r="A672" s="1" t="s">
        <v>1375</v>
      </c>
      <c r="J672" t="str">
        <f t="shared" si="36"/>
        <v xml:space="preserve">        97.6        0.82      0.8331      0.0317      0.0311       0.245       0.858       0.785              </v>
      </c>
      <c r="S672">
        <v>97.6</v>
      </c>
      <c r="T672">
        <v>0.82</v>
      </c>
      <c r="U672">
        <v>0.83309999999999995</v>
      </c>
      <c r="V672">
        <v>3.1699999999999999E-2</v>
      </c>
      <c r="W672">
        <v>3.1099999999999999E-2</v>
      </c>
      <c r="X672">
        <v>0.245</v>
      </c>
      <c r="Y672">
        <v>0.85799999999999998</v>
      </c>
      <c r="Z672">
        <v>0.78500000000000003</v>
      </c>
    </row>
    <row r="673" spans="1:26" x14ac:dyDescent="0.25">
      <c r="A673" s="1" t="s">
        <v>1376</v>
      </c>
      <c r="J673" t="str">
        <f t="shared" si="36"/>
        <v xml:space="preserve">       101.5        0.85      0.8128      0.0239      0.0250       0.197       0.690       0.592              </v>
      </c>
      <c r="S673">
        <v>101.5</v>
      </c>
      <c r="T673">
        <v>0.85</v>
      </c>
      <c r="U673">
        <v>0.81279999999999997</v>
      </c>
      <c r="V673">
        <v>2.3900000000000001E-2</v>
      </c>
      <c r="W673">
        <v>2.5000000000000001E-2</v>
      </c>
      <c r="X673">
        <v>0.19700000000000001</v>
      </c>
      <c r="Y673">
        <v>0.69</v>
      </c>
      <c r="Z673">
        <v>0.59199999999999997</v>
      </c>
    </row>
    <row r="674" spans="1:26" x14ac:dyDescent="0.25">
      <c r="A674" s="1" t="s">
        <v>1377</v>
      </c>
      <c r="J674" t="str">
        <f t="shared" si="36"/>
        <v xml:space="preserve">       105.4        0.88      0.7642      0.0160      0.0185       0.146       0.512       0.397              </v>
      </c>
      <c r="S674">
        <v>105.4</v>
      </c>
      <c r="T674">
        <v>0.88</v>
      </c>
      <c r="U674">
        <v>0.76419999999999999</v>
      </c>
      <c r="V674">
        <v>1.6E-2</v>
      </c>
      <c r="W674">
        <v>1.8499999999999999E-2</v>
      </c>
      <c r="X674">
        <v>0.14599999999999999</v>
      </c>
      <c r="Y674">
        <v>0.51200000000000001</v>
      </c>
      <c r="Z674">
        <v>0.39700000000000002</v>
      </c>
    </row>
    <row r="675" spans="1:26" x14ac:dyDescent="0.25">
      <c r="A675" s="1" t="s">
        <v>1378</v>
      </c>
      <c r="J675" t="str">
        <f t="shared" si="36"/>
        <v xml:space="preserve">       109.3        0.92      0.6310      0.0081      0.0117       0.092       0.323       0.200              </v>
      </c>
      <c r="S675">
        <v>109.3</v>
      </c>
      <c r="T675">
        <v>0.92</v>
      </c>
      <c r="U675">
        <v>0.63100000000000001</v>
      </c>
      <c r="V675">
        <v>8.0999999999999996E-3</v>
      </c>
      <c r="W675">
        <v>1.17E-2</v>
      </c>
      <c r="X675">
        <v>9.1999999999999998E-2</v>
      </c>
      <c r="Y675">
        <v>0.32300000000000001</v>
      </c>
      <c r="Z675">
        <v>0.2</v>
      </c>
    </row>
    <row r="676" spans="1:26" x14ac:dyDescent="0.25">
      <c r="A676" s="1" t="s">
        <v>1379</v>
      </c>
      <c r="J676" t="str">
        <f t="shared" si="36"/>
        <v xml:space="preserve">       113.2        0.95     -0.0029      0.0000      0.0053       0.042       0.146       0.000              </v>
      </c>
      <c r="S676">
        <v>113.2</v>
      </c>
      <c r="T676">
        <v>0.95</v>
      </c>
      <c r="U676">
        <v>-2.8999999999999998E-3</v>
      </c>
      <c r="V676">
        <v>0</v>
      </c>
      <c r="W676">
        <v>5.3E-3</v>
      </c>
      <c r="X676">
        <v>4.2000000000000003E-2</v>
      </c>
      <c r="Y676">
        <v>0.14599999999999999</v>
      </c>
      <c r="Z676">
        <v>0</v>
      </c>
    </row>
    <row r="677" spans="1:26" x14ac:dyDescent="0.25">
      <c r="A677" s="1" t="s">
        <v>1</v>
      </c>
    </row>
    <row r="678" spans="1:26" x14ac:dyDescent="0.25">
      <c r="A678" s="1" t="s">
        <v>1</v>
      </c>
    </row>
    <row r="679" spans="1:26" x14ac:dyDescent="0.25">
      <c r="A679" s="1" t="s">
        <v>1</v>
      </c>
    </row>
    <row r="680" spans="1:26" x14ac:dyDescent="0.25">
      <c r="A680" s="1" t="s">
        <v>568</v>
      </c>
    </row>
    <row r="681" spans="1:26" x14ac:dyDescent="0.25">
      <c r="A681" s="1" t="s">
        <v>1</v>
      </c>
    </row>
    <row r="682" spans="1:26" x14ac:dyDescent="0.25">
      <c r="A682" s="1" t="s">
        <v>9</v>
      </c>
    </row>
    <row r="683" spans="1:26" x14ac:dyDescent="0.25">
      <c r="A683" s="1" t="s">
        <v>10</v>
      </c>
    </row>
    <row r="684" spans="1:26" x14ac:dyDescent="0.25">
      <c r="A684" s="1" t="s">
        <v>1380</v>
      </c>
    </row>
    <row r="685" spans="1:26" x14ac:dyDescent="0.25">
      <c r="A685" s="1" t="s">
        <v>1381</v>
      </c>
    </row>
    <row r="686" spans="1:26" x14ac:dyDescent="0.25">
      <c r="A686" s="1" t="s">
        <v>1382</v>
      </c>
    </row>
    <row r="687" spans="1:26" x14ac:dyDescent="0.25">
      <c r="A687" s="1" t="s">
        <v>1383</v>
      </c>
    </row>
    <row r="688" spans="1:26" x14ac:dyDescent="0.25">
      <c r="A688" s="1" t="s">
        <v>1384</v>
      </c>
    </row>
    <row r="689" spans="1:1" x14ac:dyDescent="0.25">
      <c r="A689" s="1" t="s">
        <v>1385</v>
      </c>
    </row>
    <row r="690" spans="1:1" x14ac:dyDescent="0.25">
      <c r="A690" s="1" t="s">
        <v>1386</v>
      </c>
    </row>
    <row r="691" spans="1:1" x14ac:dyDescent="0.25">
      <c r="A691" s="1" t="s">
        <v>1387</v>
      </c>
    </row>
    <row r="692" spans="1:1" x14ac:dyDescent="0.25">
      <c r="A692" s="1" t="s">
        <v>1388</v>
      </c>
    </row>
    <row r="693" spans="1:1" x14ac:dyDescent="0.25">
      <c r="A693" s="1" t="s">
        <v>1389</v>
      </c>
    </row>
    <row r="694" spans="1:1" x14ac:dyDescent="0.25">
      <c r="A694" s="1" t="s">
        <v>1390</v>
      </c>
    </row>
    <row r="695" spans="1:1" x14ac:dyDescent="0.25">
      <c r="A695" s="1" t="s">
        <v>1391</v>
      </c>
    </row>
    <row r="696" spans="1:1" x14ac:dyDescent="0.25">
      <c r="A696" s="1" t="s">
        <v>1392</v>
      </c>
    </row>
    <row r="697" spans="1:1" x14ac:dyDescent="0.25">
      <c r="A697" s="1" t="s">
        <v>1393</v>
      </c>
    </row>
    <row r="698" spans="1:1" x14ac:dyDescent="0.25">
      <c r="A698" s="1" t="s">
        <v>1394</v>
      </c>
    </row>
    <row r="699" spans="1:1" x14ac:dyDescent="0.25">
      <c r="A699" s="1" t="s">
        <v>1395</v>
      </c>
    </row>
    <row r="700" spans="1:1" x14ac:dyDescent="0.25">
      <c r="A700" s="1" t="s">
        <v>1396</v>
      </c>
    </row>
    <row r="701" spans="1:1" x14ac:dyDescent="0.25">
      <c r="A701" s="1" t="s">
        <v>1397</v>
      </c>
    </row>
    <row r="702" spans="1:1" x14ac:dyDescent="0.25">
      <c r="A702" s="1" t="s">
        <v>1398</v>
      </c>
    </row>
    <row r="703" spans="1:1" x14ac:dyDescent="0.25">
      <c r="A703" s="1" t="s">
        <v>1399</v>
      </c>
    </row>
    <row r="704" spans="1:1" x14ac:dyDescent="0.25">
      <c r="A704" s="1" t="s">
        <v>1400</v>
      </c>
    </row>
    <row r="705" spans="1:1" x14ac:dyDescent="0.25">
      <c r="A705" s="1" t="s">
        <v>1401</v>
      </c>
    </row>
    <row r="706" spans="1:1" x14ac:dyDescent="0.25">
      <c r="A706" s="1" t="s">
        <v>1402</v>
      </c>
    </row>
    <row r="707" spans="1:1" x14ac:dyDescent="0.25">
      <c r="A707" s="1" t="s">
        <v>1403</v>
      </c>
    </row>
    <row r="708" spans="1:1" x14ac:dyDescent="0.25">
      <c r="A708" s="1" t="s">
        <v>1404</v>
      </c>
    </row>
    <row r="709" spans="1:1" x14ac:dyDescent="0.25">
      <c r="A709" s="1" t="s">
        <v>1405</v>
      </c>
    </row>
    <row r="710" spans="1:1" x14ac:dyDescent="0.25">
      <c r="A710" s="1" t="s">
        <v>1406</v>
      </c>
    </row>
    <row r="711" spans="1:1" x14ac:dyDescent="0.25">
      <c r="A711" s="1" t="s">
        <v>1407</v>
      </c>
    </row>
    <row r="712" spans="1:1" x14ac:dyDescent="0.25">
      <c r="A712" s="1" t="s">
        <v>1408</v>
      </c>
    </row>
    <row r="713" spans="1:1" x14ac:dyDescent="0.25">
      <c r="A713" s="1" t="s">
        <v>1409</v>
      </c>
    </row>
    <row r="714" spans="1:1" x14ac:dyDescent="0.25">
      <c r="A714" s="1" t="s">
        <v>1</v>
      </c>
    </row>
    <row r="715" spans="1:1" x14ac:dyDescent="0.25">
      <c r="A715" s="1" t="s">
        <v>1</v>
      </c>
    </row>
    <row r="716" spans="1:1" x14ac:dyDescent="0.25">
      <c r="A716" s="1" t="s">
        <v>1</v>
      </c>
    </row>
    <row r="717" spans="1:1" x14ac:dyDescent="0.25">
      <c r="A717" s="1" t="s">
        <v>599</v>
      </c>
    </row>
    <row r="718" spans="1:1" x14ac:dyDescent="0.25">
      <c r="A718" s="1" t="s">
        <v>1</v>
      </c>
    </row>
    <row r="719" spans="1:1" x14ac:dyDescent="0.25">
      <c r="A719" s="1" t="s">
        <v>9</v>
      </c>
    </row>
    <row r="720" spans="1:1" x14ac:dyDescent="0.25">
      <c r="A720" s="1" t="s">
        <v>10</v>
      </c>
    </row>
    <row r="721" spans="1:1" x14ac:dyDescent="0.25">
      <c r="A721" s="1" t="s">
        <v>1410</v>
      </c>
    </row>
    <row r="722" spans="1:1" x14ac:dyDescent="0.25">
      <c r="A722" s="1" t="s">
        <v>1411</v>
      </c>
    </row>
    <row r="723" spans="1:1" x14ac:dyDescent="0.25">
      <c r="A723" s="1" t="s">
        <v>1412</v>
      </c>
    </row>
    <row r="724" spans="1:1" x14ac:dyDescent="0.25">
      <c r="A724" s="1" t="s">
        <v>1413</v>
      </c>
    </row>
    <row r="725" spans="1:1" x14ac:dyDescent="0.25">
      <c r="A725" s="1" t="s">
        <v>1414</v>
      </c>
    </row>
    <row r="726" spans="1:1" x14ac:dyDescent="0.25">
      <c r="A726" s="1" t="s">
        <v>1415</v>
      </c>
    </row>
    <row r="727" spans="1:1" x14ac:dyDescent="0.25">
      <c r="A727" s="1" t="s">
        <v>1416</v>
      </c>
    </row>
    <row r="728" spans="1:1" x14ac:dyDescent="0.25">
      <c r="A728" s="1" t="s">
        <v>1417</v>
      </c>
    </row>
    <row r="729" spans="1:1" x14ac:dyDescent="0.25">
      <c r="A729" s="1" t="s">
        <v>1418</v>
      </c>
    </row>
    <row r="730" spans="1:1" x14ac:dyDescent="0.25">
      <c r="A730" s="1" t="s">
        <v>1419</v>
      </c>
    </row>
    <row r="731" spans="1:1" x14ac:dyDescent="0.25">
      <c r="A731" s="1" t="s">
        <v>1420</v>
      </c>
    </row>
    <row r="732" spans="1:1" x14ac:dyDescent="0.25">
      <c r="A732" s="1" t="s">
        <v>1421</v>
      </c>
    </row>
    <row r="733" spans="1:1" x14ac:dyDescent="0.25">
      <c r="A733" s="1" t="s">
        <v>1422</v>
      </c>
    </row>
    <row r="734" spans="1:1" x14ac:dyDescent="0.25">
      <c r="A734" s="1" t="s">
        <v>1423</v>
      </c>
    </row>
    <row r="735" spans="1:1" x14ac:dyDescent="0.25">
      <c r="A735" s="1" t="s">
        <v>1424</v>
      </c>
    </row>
    <row r="736" spans="1:1" x14ac:dyDescent="0.25">
      <c r="A736" s="1" t="s">
        <v>1425</v>
      </c>
    </row>
    <row r="737" spans="1:1" x14ac:dyDescent="0.25">
      <c r="A737" s="1" t="s">
        <v>1426</v>
      </c>
    </row>
    <row r="738" spans="1:1" x14ac:dyDescent="0.25">
      <c r="A738" s="1" t="s">
        <v>1427</v>
      </c>
    </row>
    <row r="739" spans="1:1" x14ac:dyDescent="0.25">
      <c r="A739" s="1" t="s">
        <v>1428</v>
      </c>
    </row>
    <row r="740" spans="1:1" x14ac:dyDescent="0.25">
      <c r="A740" s="1" t="s">
        <v>1429</v>
      </c>
    </row>
    <row r="741" spans="1:1" x14ac:dyDescent="0.25">
      <c r="A741" s="1" t="s">
        <v>1430</v>
      </c>
    </row>
    <row r="742" spans="1:1" x14ac:dyDescent="0.25">
      <c r="A742" s="1" t="s">
        <v>1431</v>
      </c>
    </row>
    <row r="743" spans="1:1" x14ac:dyDescent="0.25">
      <c r="A743" s="1" t="s">
        <v>1432</v>
      </c>
    </row>
    <row r="744" spans="1:1" x14ac:dyDescent="0.25">
      <c r="A744" s="1" t="s">
        <v>1433</v>
      </c>
    </row>
    <row r="745" spans="1:1" x14ac:dyDescent="0.25">
      <c r="A745" s="1" t="s">
        <v>1434</v>
      </c>
    </row>
    <row r="746" spans="1:1" x14ac:dyDescent="0.25">
      <c r="A746" s="1" t="s">
        <v>1435</v>
      </c>
    </row>
    <row r="747" spans="1:1" x14ac:dyDescent="0.25">
      <c r="A747" s="1" t="s">
        <v>1436</v>
      </c>
    </row>
    <row r="748" spans="1:1" x14ac:dyDescent="0.25">
      <c r="A748" s="1" t="s">
        <v>1437</v>
      </c>
    </row>
    <row r="749" spans="1:1" x14ac:dyDescent="0.25">
      <c r="A749" s="1" t="s">
        <v>1438</v>
      </c>
    </row>
    <row r="750" spans="1:1" x14ac:dyDescent="0.25">
      <c r="A750" s="1" t="s">
        <v>1439</v>
      </c>
    </row>
    <row r="751" spans="1:1" x14ac:dyDescent="0.25">
      <c r="A751" s="1" t="s">
        <v>1</v>
      </c>
    </row>
    <row r="752" spans="1:1" x14ac:dyDescent="0.25">
      <c r="A752" s="1" t="s">
        <v>1</v>
      </c>
    </row>
    <row r="753" spans="1:1" x14ac:dyDescent="0.25">
      <c r="A753" s="1" t="s">
        <v>1</v>
      </c>
    </row>
    <row r="754" spans="1:1" x14ac:dyDescent="0.25">
      <c r="A754" s="1" t="s">
        <v>630</v>
      </c>
    </row>
    <row r="755" spans="1:1" x14ac:dyDescent="0.25">
      <c r="A755" s="1" t="s">
        <v>1</v>
      </c>
    </row>
    <row r="756" spans="1:1" x14ac:dyDescent="0.25">
      <c r="A756" s="1" t="s">
        <v>9</v>
      </c>
    </row>
    <row r="757" spans="1:1" x14ac:dyDescent="0.25">
      <c r="A757" s="1" t="s">
        <v>10</v>
      </c>
    </row>
    <row r="758" spans="1:1" x14ac:dyDescent="0.25">
      <c r="A758" s="1" t="s">
        <v>1440</v>
      </c>
    </row>
    <row r="759" spans="1:1" x14ac:dyDescent="0.25">
      <c r="A759" s="1" t="s">
        <v>1441</v>
      </c>
    </row>
    <row r="760" spans="1:1" x14ac:dyDescent="0.25">
      <c r="A760" s="1" t="s">
        <v>1442</v>
      </c>
    </row>
    <row r="761" spans="1:1" x14ac:dyDescent="0.25">
      <c r="A761" s="1" t="s">
        <v>1443</v>
      </c>
    </row>
    <row r="762" spans="1:1" x14ac:dyDescent="0.25">
      <c r="A762" s="1" t="s">
        <v>1444</v>
      </c>
    </row>
    <row r="763" spans="1:1" x14ac:dyDescent="0.25">
      <c r="A763" s="1" t="s">
        <v>1445</v>
      </c>
    </row>
    <row r="764" spans="1:1" x14ac:dyDescent="0.25">
      <c r="A764" s="1" t="s">
        <v>1446</v>
      </c>
    </row>
    <row r="765" spans="1:1" x14ac:dyDescent="0.25">
      <c r="A765" s="1" t="s">
        <v>1447</v>
      </c>
    </row>
    <row r="766" spans="1:1" x14ac:dyDescent="0.25">
      <c r="A766" s="1" t="s">
        <v>1448</v>
      </c>
    </row>
    <row r="767" spans="1:1" x14ac:dyDescent="0.25">
      <c r="A767" s="1" t="s">
        <v>1449</v>
      </c>
    </row>
    <row r="768" spans="1:1" x14ac:dyDescent="0.25">
      <c r="A768" s="1" t="s">
        <v>1450</v>
      </c>
    </row>
    <row r="769" spans="1:1" x14ac:dyDescent="0.25">
      <c r="A769" s="1" t="s">
        <v>1451</v>
      </c>
    </row>
    <row r="770" spans="1:1" x14ac:dyDescent="0.25">
      <c r="A770" s="1" t="s">
        <v>1452</v>
      </c>
    </row>
    <row r="771" spans="1:1" x14ac:dyDescent="0.25">
      <c r="A771" s="1" t="s">
        <v>1453</v>
      </c>
    </row>
    <row r="772" spans="1:1" x14ac:dyDescent="0.25">
      <c r="A772" s="1" t="s">
        <v>1454</v>
      </c>
    </row>
    <row r="773" spans="1:1" x14ac:dyDescent="0.25">
      <c r="A773" s="1" t="s">
        <v>1455</v>
      </c>
    </row>
    <row r="774" spans="1:1" x14ac:dyDescent="0.25">
      <c r="A774" s="1" t="s">
        <v>1456</v>
      </c>
    </row>
    <row r="775" spans="1:1" x14ac:dyDescent="0.25">
      <c r="A775" s="1" t="s">
        <v>1457</v>
      </c>
    </row>
    <row r="776" spans="1:1" x14ac:dyDescent="0.25">
      <c r="A776" s="1" t="s">
        <v>1458</v>
      </c>
    </row>
    <row r="777" spans="1:1" x14ac:dyDescent="0.25">
      <c r="A777" s="1" t="s">
        <v>1459</v>
      </c>
    </row>
    <row r="778" spans="1:1" x14ac:dyDescent="0.25">
      <c r="A778" s="1" t="s">
        <v>1460</v>
      </c>
    </row>
    <row r="779" spans="1:1" x14ac:dyDescent="0.25">
      <c r="A779" s="1" t="s">
        <v>1461</v>
      </c>
    </row>
    <row r="780" spans="1:1" x14ac:dyDescent="0.25">
      <c r="A780" s="1" t="s">
        <v>1462</v>
      </c>
    </row>
    <row r="781" spans="1:1" x14ac:dyDescent="0.25">
      <c r="A781" s="1" t="s">
        <v>1463</v>
      </c>
    </row>
    <row r="782" spans="1:1" x14ac:dyDescent="0.25">
      <c r="A782" s="1" t="s">
        <v>1464</v>
      </c>
    </row>
    <row r="783" spans="1:1" x14ac:dyDescent="0.25">
      <c r="A783" s="1" t="s">
        <v>1465</v>
      </c>
    </row>
    <row r="784" spans="1:1" x14ac:dyDescent="0.25">
      <c r="A784" s="1" t="s">
        <v>1466</v>
      </c>
    </row>
    <row r="785" spans="1:1" x14ac:dyDescent="0.25">
      <c r="A785" s="1" t="s">
        <v>1467</v>
      </c>
    </row>
    <row r="786" spans="1:1" x14ac:dyDescent="0.25">
      <c r="A786" s="1" t="s">
        <v>1468</v>
      </c>
    </row>
    <row r="787" spans="1:1" x14ac:dyDescent="0.25">
      <c r="A787" s="1" t="s">
        <v>1469</v>
      </c>
    </row>
    <row r="788" spans="1:1" x14ac:dyDescent="0.25">
      <c r="A788" s="1" t="s">
        <v>1</v>
      </c>
    </row>
    <row r="789" spans="1:1" x14ac:dyDescent="0.25">
      <c r="A789" s="1" t="s">
        <v>1</v>
      </c>
    </row>
    <row r="790" spans="1:1" x14ac:dyDescent="0.25">
      <c r="A790" s="1" t="s">
        <v>1</v>
      </c>
    </row>
    <row r="791" spans="1:1" x14ac:dyDescent="0.25">
      <c r="A791" s="1" t="s">
        <v>1470</v>
      </c>
    </row>
    <row r="792" spans="1:1" x14ac:dyDescent="0.25">
      <c r="A792" s="1" t="s">
        <v>1</v>
      </c>
    </row>
    <row r="793" spans="1:1" x14ac:dyDescent="0.25">
      <c r="A793" s="1" t="s">
        <v>9</v>
      </c>
    </row>
    <row r="794" spans="1:1" x14ac:dyDescent="0.25">
      <c r="A794" s="1" t="s">
        <v>10</v>
      </c>
    </row>
    <row r="795" spans="1:1" x14ac:dyDescent="0.25">
      <c r="A795" s="1" t="s">
        <v>1471</v>
      </c>
    </row>
    <row r="796" spans="1:1" x14ac:dyDescent="0.25">
      <c r="A796" s="1" t="s">
        <v>1472</v>
      </c>
    </row>
    <row r="797" spans="1:1" x14ac:dyDescent="0.25">
      <c r="A797" s="1" t="s">
        <v>1473</v>
      </c>
    </row>
    <row r="798" spans="1:1" x14ac:dyDescent="0.25">
      <c r="A798" s="1" t="s">
        <v>1474</v>
      </c>
    </row>
    <row r="799" spans="1:1" x14ac:dyDescent="0.25">
      <c r="A799" s="1" t="s">
        <v>1475</v>
      </c>
    </row>
    <row r="800" spans="1:1" x14ac:dyDescent="0.25">
      <c r="A800" s="1" t="s">
        <v>1476</v>
      </c>
    </row>
    <row r="801" spans="1:1" x14ac:dyDescent="0.25">
      <c r="A801" s="1" t="s">
        <v>1477</v>
      </c>
    </row>
    <row r="802" spans="1:1" x14ac:dyDescent="0.25">
      <c r="A802" s="1" t="s">
        <v>1478</v>
      </c>
    </row>
    <row r="803" spans="1:1" x14ac:dyDescent="0.25">
      <c r="A803" s="1" t="s">
        <v>1479</v>
      </c>
    </row>
    <row r="804" spans="1:1" x14ac:dyDescent="0.25">
      <c r="A804" s="1" t="s">
        <v>1480</v>
      </c>
    </row>
    <row r="805" spans="1:1" x14ac:dyDescent="0.25">
      <c r="A805" s="1" t="s">
        <v>1481</v>
      </c>
    </row>
    <row r="806" spans="1:1" x14ac:dyDescent="0.25">
      <c r="A806" s="1" t="s">
        <v>1482</v>
      </c>
    </row>
    <row r="807" spans="1:1" x14ac:dyDescent="0.25">
      <c r="A807" s="1" t="s">
        <v>1483</v>
      </c>
    </row>
    <row r="808" spans="1:1" x14ac:dyDescent="0.25">
      <c r="A808" s="1" t="s">
        <v>1484</v>
      </c>
    </row>
    <row r="809" spans="1:1" x14ac:dyDescent="0.25">
      <c r="A809" s="1" t="s">
        <v>1485</v>
      </c>
    </row>
    <row r="810" spans="1:1" x14ac:dyDescent="0.25">
      <c r="A810" s="1" t="s">
        <v>1486</v>
      </c>
    </row>
    <row r="811" spans="1:1" x14ac:dyDescent="0.25">
      <c r="A811" s="1" t="s">
        <v>1487</v>
      </c>
    </row>
    <row r="812" spans="1:1" x14ac:dyDescent="0.25">
      <c r="A812" s="1" t="s">
        <v>1488</v>
      </c>
    </row>
    <row r="813" spans="1:1" x14ac:dyDescent="0.25">
      <c r="A813" s="1" t="s">
        <v>1489</v>
      </c>
    </row>
    <row r="814" spans="1:1" x14ac:dyDescent="0.25">
      <c r="A814" s="1" t="s">
        <v>1490</v>
      </c>
    </row>
    <row r="815" spans="1:1" x14ac:dyDescent="0.25">
      <c r="A815" s="1" t="s">
        <v>1491</v>
      </c>
    </row>
    <row r="816" spans="1:1" x14ac:dyDescent="0.25">
      <c r="A816" s="1" t="s">
        <v>1492</v>
      </c>
    </row>
    <row r="817" spans="1:1" x14ac:dyDescent="0.25">
      <c r="A817" s="1" t="s">
        <v>1493</v>
      </c>
    </row>
    <row r="818" spans="1:1" x14ac:dyDescent="0.25">
      <c r="A818" s="1" t="s">
        <v>1494</v>
      </c>
    </row>
    <row r="819" spans="1:1" x14ac:dyDescent="0.25">
      <c r="A819" s="1" t="s">
        <v>1495</v>
      </c>
    </row>
    <row r="820" spans="1:1" x14ac:dyDescent="0.25">
      <c r="A820" s="1" t="s">
        <v>1496</v>
      </c>
    </row>
    <row r="821" spans="1:1" x14ac:dyDescent="0.25">
      <c r="A821" s="1" t="s">
        <v>1497</v>
      </c>
    </row>
    <row r="822" spans="1:1" x14ac:dyDescent="0.25">
      <c r="A822" s="1" t="s">
        <v>1498</v>
      </c>
    </row>
    <row r="823" spans="1:1" x14ac:dyDescent="0.25">
      <c r="A823" s="1" t="s">
        <v>1499</v>
      </c>
    </row>
    <row r="824" spans="1:1" x14ac:dyDescent="0.25">
      <c r="A824" s="1" t="s">
        <v>1500</v>
      </c>
    </row>
    <row r="825" spans="1:1" x14ac:dyDescent="0.25">
      <c r="A825" s="1" t="s">
        <v>1</v>
      </c>
    </row>
    <row r="826" spans="1:1" x14ac:dyDescent="0.25">
      <c r="A826" s="1" t="s">
        <v>1</v>
      </c>
    </row>
    <row r="827" spans="1:1" x14ac:dyDescent="0.25">
      <c r="A827" s="1" t="s">
        <v>1</v>
      </c>
    </row>
    <row r="828" spans="1:1" x14ac:dyDescent="0.25">
      <c r="A828" s="1" t="s">
        <v>1501</v>
      </c>
    </row>
    <row r="829" spans="1:1" x14ac:dyDescent="0.25">
      <c r="A829" s="1" t="s">
        <v>1</v>
      </c>
    </row>
    <row r="830" spans="1:1" x14ac:dyDescent="0.25">
      <c r="A830" s="1" t="s">
        <v>9</v>
      </c>
    </row>
    <row r="831" spans="1:1" x14ac:dyDescent="0.25">
      <c r="A831" s="1" t="s">
        <v>10</v>
      </c>
    </row>
    <row r="832" spans="1:1" x14ac:dyDescent="0.25">
      <c r="A832" s="1" t="s">
        <v>1502</v>
      </c>
    </row>
    <row r="833" spans="1:1" x14ac:dyDescent="0.25">
      <c r="A833" s="1" t="s">
        <v>1503</v>
      </c>
    </row>
    <row r="834" spans="1:1" x14ac:dyDescent="0.25">
      <c r="A834" s="1" t="s">
        <v>1504</v>
      </c>
    </row>
    <row r="835" spans="1:1" x14ac:dyDescent="0.25">
      <c r="A835" s="1" t="s">
        <v>1505</v>
      </c>
    </row>
    <row r="836" spans="1:1" x14ac:dyDescent="0.25">
      <c r="A836" s="1" t="s">
        <v>1506</v>
      </c>
    </row>
    <row r="837" spans="1:1" x14ac:dyDescent="0.25">
      <c r="A837" s="1" t="s">
        <v>1507</v>
      </c>
    </row>
    <row r="838" spans="1:1" x14ac:dyDescent="0.25">
      <c r="A838" s="1" t="s">
        <v>1508</v>
      </c>
    </row>
    <row r="839" spans="1:1" x14ac:dyDescent="0.25">
      <c r="A839" s="1" t="s">
        <v>1509</v>
      </c>
    </row>
    <row r="840" spans="1:1" x14ac:dyDescent="0.25">
      <c r="A840" s="1" t="s">
        <v>1510</v>
      </c>
    </row>
    <row r="841" spans="1:1" x14ac:dyDescent="0.25">
      <c r="A841" s="1" t="s">
        <v>1511</v>
      </c>
    </row>
    <row r="842" spans="1:1" x14ac:dyDescent="0.25">
      <c r="A842" s="1" t="s">
        <v>1512</v>
      </c>
    </row>
    <row r="843" spans="1:1" x14ac:dyDescent="0.25">
      <c r="A843" s="1" t="s">
        <v>1513</v>
      </c>
    </row>
    <row r="844" spans="1:1" x14ac:dyDescent="0.25">
      <c r="A844" s="1" t="s">
        <v>1514</v>
      </c>
    </row>
    <row r="845" spans="1:1" x14ac:dyDescent="0.25">
      <c r="A845" s="1" t="s">
        <v>1515</v>
      </c>
    </row>
    <row r="846" spans="1:1" x14ac:dyDescent="0.25">
      <c r="A846" s="1" t="s">
        <v>1516</v>
      </c>
    </row>
    <row r="847" spans="1:1" x14ac:dyDescent="0.25">
      <c r="A847" s="1" t="s">
        <v>1517</v>
      </c>
    </row>
    <row r="848" spans="1:1" x14ac:dyDescent="0.25">
      <c r="A848" s="1" t="s">
        <v>1518</v>
      </c>
    </row>
    <row r="849" spans="1:1" x14ac:dyDescent="0.25">
      <c r="A849" s="1" t="s">
        <v>1519</v>
      </c>
    </row>
    <row r="850" spans="1:1" x14ac:dyDescent="0.25">
      <c r="A850" s="1" t="s">
        <v>1520</v>
      </c>
    </row>
    <row r="851" spans="1:1" x14ac:dyDescent="0.25">
      <c r="A851" s="1" t="s">
        <v>1521</v>
      </c>
    </row>
    <row r="852" spans="1:1" x14ac:dyDescent="0.25">
      <c r="A852" s="1" t="s">
        <v>1522</v>
      </c>
    </row>
    <row r="853" spans="1:1" x14ac:dyDescent="0.25">
      <c r="A853" s="1" t="s">
        <v>1523</v>
      </c>
    </row>
    <row r="854" spans="1:1" x14ac:dyDescent="0.25">
      <c r="A854" s="1" t="s">
        <v>1524</v>
      </c>
    </row>
    <row r="855" spans="1:1" x14ac:dyDescent="0.25">
      <c r="A855" s="1" t="s">
        <v>1525</v>
      </c>
    </row>
    <row r="856" spans="1:1" x14ac:dyDescent="0.25">
      <c r="A856" s="1" t="s">
        <v>1526</v>
      </c>
    </row>
    <row r="857" spans="1:1" x14ac:dyDescent="0.25">
      <c r="A857" s="1" t="s">
        <v>1527</v>
      </c>
    </row>
    <row r="858" spans="1:1" x14ac:dyDescent="0.25">
      <c r="A858" s="1" t="s">
        <v>1528</v>
      </c>
    </row>
    <row r="859" spans="1:1" x14ac:dyDescent="0.25">
      <c r="A859" s="1" t="s">
        <v>1529</v>
      </c>
    </row>
    <row r="860" spans="1:1" x14ac:dyDescent="0.25">
      <c r="A860" s="1" t="s">
        <v>1530</v>
      </c>
    </row>
    <row r="861" spans="1:1" x14ac:dyDescent="0.25">
      <c r="A861" s="1" t="s">
        <v>1531</v>
      </c>
    </row>
    <row r="862" spans="1:1" x14ac:dyDescent="0.25">
      <c r="A862" s="1" t="s">
        <v>1</v>
      </c>
    </row>
    <row r="863" spans="1:1" x14ac:dyDescent="0.25">
      <c r="A863" s="1" t="s">
        <v>1</v>
      </c>
    </row>
    <row r="864" spans="1:1" x14ac:dyDescent="0.25">
      <c r="A864" s="1" t="s">
        <v>1</v>
      </c>
    </row>
    <row r="865" spans="1:1" x14ac:dyDescent="0.25">
      <c r="A865" s="1" t="s">
        <v>1532</v>
      </c>
    </row>
    <row r="866" spans="1:1" x14ac:dyDescent="0.25">
      <c r="A866" s="1" t="s">
        <v>1</v>
      </c>
    </row>
    <row r="867" spans="1:1" x14ac:dyDescent="0.25">
      <c r="A867" s="1" t="s">
        <v>9</v>
      </c>
    </row>
    <row r="868" spans="1:1" x14ac:dyDescent="0.25">
      <c r="A868" s="1" t="s">
        <v>10</v>
      </c>
    </row>
    <row r="869" spans="1:1" x14ac:dyDescent="0.25">
      <c r="A869" s="1" t="s">
        <v>1533</v>
      </c>
    </row>
    <row r="870" spans="1:1" x14ac:dyDescent="0.25">
      <c r="A870" s="1" t="s">
        <v>1534</v>
      </c>
    </row>
    <row r="871" spans="1:1" x14ac:dyDescent="0.25">
      <c r="A871" s="1" t="s">
        <v>1535</v>
      </c>
    </row>
    <row r="872" spans="1:1" x14ac:dyDescent="0.25">
      <c r="A872" s="1" t="s">
        <v>1536</v>
      </c>
    </row>
    <row r="873" spans="1:1" x14ac:dyDescent="0.25">
      <c r="A873" s="1" t="s">
        <v>1537</v>
      </c>
    </row>
    <row r="874" spans="1:1" x14ac:dyDescent="0.25">
      <c r="A874" s="1" t="s">
        <v>1538</v>
      </c>
    </row>
    <row r="875" spans="1:1" x14ac:dyDescent="0.25">
      <c r="A875" s="1" t="s">
        <v>1539</v>
      </c>
    </row>
    <row r="876" spans="1:1" x14ac:dyDescent="0.25">
      <c r="A876" s="1" t="s">
        <v>1540</v>
      </c>
    </row>
    <row r="877" spans="1:1" x14ac:dyDescent="0.25">
      <c r="A877" s="1" t="s">
        <v>1541</v>
      </c>
    </row>
    <row r="878" spans="1:1" x14ac:dyDescent="0.25">
      <c r="A878" s="1" t="s">
        <v>1542</v>
      </c>
    </row>
    <row r="879" spans="1:1" x14ac:dyDescent="0.25">
      <c r="A879" s="1" t="s">
        <v>1543</v>
      </c>
    </row>
    <row r="880" spans="1:1" x14ac:dyDescent="0.25">
      <c r="A880" s="1" t="s">
        <v>1544</v>
      </c>
    </row>
    <row r="881" spans="1:1" x14ac:dyDescent="0.25">
      <c r="A881" s="1" t="s">
        <v>1545</v>
      </c>
    </row>
    <row r="882" spans="1:1" x14ac:dyDescent="0.25">
      <c r="A882" s="1" t="s">
        <v>1546</v>
      </c>
    </row>
    <row r="883" spans="1:1" x14ac:dyDescent="0.25">
      <c r="A883" s="1" t="s">
        <v>1547</v>
      </c>
    </row>
    <row r="884" spans="1:1" x14ac:dyDescent="0.25">
      <c r="A884" s="1" t="s">
        <v>1548</v>
      </c>
    </row>
    <row r="885" spans="1:1" x14ac:dyDescent="0.25">
      <c r="A885" s="1" t="s">
        <v>1549</v>
      </c>
    </row>
    <row r="886" spans="1:1" x14ac:dyDescent="0.25">
      <c r="A886" s="1" t="s">
        <v>1550</v>
      </c>
    </row>
    <row r="887" spans="1:1" x14ac:dyDescent="0.25">
      <c r="A887" s="1" t="s">
        <v>1551</v>
      </c>
    </row>
    <row r="888" spans="1:1" x14ac:dyDescent="0.25">
      <c r="A888" s="1" t="s">
        <v>1552</v>
      </c>
    </row>
    <row r="889" spans="1:1" x14ac:dyDescent="0.25">
      <c r="A889" s="1" t="s">
        <v>1553</v>
      </c>
    </row>
    <row r="890" spans="1:1" x14ac:dyDescent="0.25">
      <c r="A890" s="1" t="s">
        <v>1554</v>
      </c>
    </row>
    <row r="891" spans="1:1" x14ac:dyDescent="0.25">
      <c r="A891" s="1" t="s">
        <v>1555</v>
      </c>
    </row>
    <row r="892" spans="1:1" x14ac:dyDescent="0.25">
      <c r="A892" s="1" t="s">
        <v>1556</v>
      </c>
    </row>
    <row r="893" spans="1:1" x14ac:dyDescent="0.25">
      <c r="A893" s="1" t="s">
        <v>1557</v>
      </c>
    </row>
    <row r="894" spans="1:1" x14ac:dyDescent="0.25">
      <c r="A894" s="1" t="s">
        <v>1558</v>
      </c>
    </row>
    <row r="895" spans="1:1" x14ac:dyDescent="0.25">
      <c r="A895" s="1" t="s">
        <v>1559</v>
      </c>
    </row>
    <row r="896" spans="1:1" x14ac:dyDescent="0.25">
      <c r="A896" s="1" t="s">
        <v>1560</v>
      </c>
    </row>
    <row r="897" spans="1:1" x14ac:dyDescent="0.25">
      <c r="A897" s="1" t="s">
        <v>1561</v>
      </c>
    </row>
    <row r="898" spans="1:1" x14ac:dyDescent="0.25">
      <c r="A898" s="1" t="s">
        <v>1562</v>
      </c>
    </row>
    <row r="899" spans="1:1" x14ac:dyDescent="0.25">
      <c r="A899" s="1" t="s">
        <v>1</v>
      </c>
    </row>
    <row r="900" spans="1:1" x14ac:dyDescent="0.25">
      <c r="A900" s="1" t="s">
        <v>1</v>
      </c>
    </row>
    <row r="901" spans="1:1" x14ac:dyDescent="0.25">
      <c r="A901" s="1" t="s">
        <v>1</v>
      </c>
    </row>
    <row r="902" spans="1:1" x14ac:dyDescent="0.25">
      <c r="A902" s="1" t="s">
        <v>1563</v>
      </c>
    </row>
    <row r="903" spans="1:1" x14ac:dyDescent="0.25">
      <c r="A903" s="1" t="s">
        <v>1</v>
      </c>
    </row>
    <row r="904" spans="1:1" x14ac:dyDescent="0.25">
      <c r="A904" s="1" t="s">
        <v>9</v>
      </c>
    </row>
    <row r="905" spans="1:1" x14ac:dyDescent="0.25">
      <c r="A905" s="1" t="s">
        <v>10</v>
      </c>
    </row>
    <row r="906" spans="1:1" x14ac:dyDescent="0.25">
      <c r="A906" s="1" t="s">
        <v>1564</v>
      </c>
    </row>
    <row r="907" spans="1:1" x14ac:dyDescent="0.25">
      <c r="A907" s="1" t="s">
        <v>1565</v>
      </c>
    </row>
    <row r="908" spans="1:1" x14ac:dyDescent="0.25">
      <c r="A908" s="1" t="s">
        <v>1566</v>
      </c>
    </row>
    <row r="909" spans="1:1" x14ac:dyDescent="0.25">
      <c r="A909" s="1" t="s">
        <v>1567</v>
      </c>
    </row>
    <row r="910" spans="1:1" x14ac:dyDescent="0.25">
      <c r="A910" s="1" t="s">
        <v>1568</v>
      </c>
    </row>
    <row r="911" spans="1:1" x14ac:dyDescent="0.25">
      <c r="A911" s="1" t="s">
        <v>1569</v>
      </c>
    </row>
    <row r="912" spans="1:1" x14ac:dyDescent="0.25">
      <c r="A912" s="1" t="s">
        <v>1570</v>
      </c>
    </row>
    <row r="913" spans="1:1" x14ac:dyDescent="0.25">
      <c r="A913" s="1" t="s">
        <v>1571</v>
      </c>
    </row>
    <row r="914" spans="1:1" x14ac:dyDescent="0.25">
      <c r="A914" s="1" t="s">
        <v>1572</v>
      </c>
    </row>
    <row r="915" spans="1:1" x14ac:dyDescent="0.25">
      <c r="A915" s="1" t="s">
        <v>1573</v>
      </c>
    </row>
    <row r="916" spans="1:1" x14ac:dyDescent="0.25">
      <c r="A916" s="1" t="s">
        <v>1574</v>
      </c>
    </row>
    <row r="917" spans="1:1" x14ac:dyDescent="0.25">
      <c r="A917" s="1" t="s">
        <v>1575</v>
      </c>
    </row>
    <row r="918" spans="1:1" x14ac:dyDescent="0.25">
      <c r="A918" s="1" t="s">
        <v>1576</v>
      </c>
    </row>
    <row r="919" spans="1:1" x14ac:dyDescent="0.25">
      <c r="A919" s="1" t="s">
        <v>1577</v>
      </c>
    </row>
    <row r="920" spans="1:1" x14ac:dyDescent="0.25">
      <c r="A920" s="1" t="s">
        <v>1578</v>
      </c>
    </row>
    <row r="921" spans="1:1" x14ac:dyDescent="0.25">
      <c r="A921" s="1" t="s">
        <v>1579</v>
      </c>
    </row>
    <row r="922" spans="1:1" x14ac:dyDescent="0.25">
      <c r="A922" s="1" t="s">
        <v>1580</v>
      </c>
    </row>
    <row r="923" spans="1:1" x14ac:dyDescent="0.25">
      <c r="A923" s="1" t="s">
        <v>1581</v>
      </c>
    </row>
    <row r="924" spans="1:1" x14ac:dyDescent="0.25">
      <c r="A924" s="1" t="s">
        <v>1582</v>
      </c>
    </row>
    <row r="925" spans="1:1" x14ac:dyDescent="0.25">
      <c r="A925" s="1" t="s">
        <v>1583</v>
      </c>
    </row>
    <row r="926" spans="1:1" x14ac:dyDescent="0.25">
      <c r="A926" s="1" t="s">
        <v>1584</v>
      </c>
    </row>
    <row r="927" spans="1:1" x14ac:dyDescent="0.25">
      <c r="A927" s="1" t="s">
        <v>1585</v>
      </c>
    </row>
    <row r="928" spans="1:1" x14ac:dyDescent="0.25">
      <c r="A928" s="1" t="s">
        <v>1586</v>
      </c>
    </row>
    <row r="929" spans="1:1" x14ac:dyDescent="0.25">
      <c r="A929" s="1" t="s">
        <v>1587</v>
      </c>
    </row>
    <row r="930" spans="1:1" x14ac:dyDescent="0.25">
      <c r="A930" s="1" t="s">
        <v>1588</v>
      </c>
    </row>
    <row r="931" spans="1:1" x14ac:dyDescent="0.25">
      <c r="A931" s="1" t="s">
        <v>1589</v>
      </c>
    </row>
    <row r="932" spans="1:1" x14ac:dyDescent="0.25">
      <c r="A932" s="1" t="s">
        <v>1590</v>
      </c>
    </row>
    <row r="933" spans="1:1" x14ac:dyDescent="0.25">
      <c r="A933" s="1" t="s">
        <v>1591</v>
      </c>
    </row>
    <row r="934" spans="1:1" x14ac:dyDescent="0.25">
      <c r="A934" s="1" t="s">
        <v>1592</v>
      </c>
    </row>
    <row r="935" spans="1:1" x14ac:dyDescent="0.25">
      <c r="A935" s="1" t="s">
        <v>1593</v>
      </c>
    </row>
    <row r="936" spans="1:1" x14ac:dyDescent="0.25">
      <c r="A936" s="1" t="s">
        <v>1</v>
      </c>
    </row>
    <row r="937" spans="1:1" x14ac:dyDescent="0.25">
      <c r="A937" s="1" t="s">
        <v>1</v>
      </c>
    </row>
    <row r="938" spans="1:1" x14ac:dyDescent="0.25">
      <c r="A938" s="1" t="s">
        <v>1</v>
      </c>
    </row>
    <row r="939" spans="1:1" x14ac:dyDescent="0.25">
      <c r="A939" s="1" t="s">
        <v>1594</v>
      </c>
    </row>
    <row r="940" spans="1:1" x14ac:dyDescent="0.25">
      <c r="A940" s="1" t="s">
        <v>1</v>
      </c>
    </row>
    <row r="941" spans="1:1" x14ac:dyDescent="0.25">
      <c r="A941" s="1" t="s">
        <v>9</v>
      </c>
    </row>
    <row r="942" spans="1:1" x14ac:dyDescent="0.25">
      <c r="A942" s="1" t="s">
        <v>10</v>
      </c>
    </row>
    <row r="943" spans="1:1" x14ac:dyDescent="0.25">
      <c r="A943" s="1" t="s">
        <v>1595</v>
      </c>
    </row>
    <row r="944" spans="1:1" x14ac:dyDescent="0.25">
      <c r="A944" s="1" t="s">
        <v>1596</v>
      </c>
    </row>
    <row r="945" spans="1:1" x14ac:dyDescent="0.25">
      <c r="A945" s="1" t="s">
        <v>1597</v>
      </c>
    </row>
    <row r="946" spans="1:1" x14ac:dyDescent="0.25">
      <c r="A946" s="1" t="s">
        <v>1598</v>
      </c>
    </row>
    <row r="947" spans="1:1" x14ac:dyDescent="0.25">
      <c r="A947" s="1" t="s">
        <v>1599</v>
      </c>
    </row>
    <row r="948" spans="1:1" x14ac:dyDescent="0.25">
      <c r="A948" s="1" t="s">
        <v>1600</v>
      </c>
    </row>
    <row r="949" spans="1:1" x14ac:dyDescent="0.25">
      <c r="A949" s="1" t="s">
        <v>1601</v>
      </c>
    </row>
    <row r="950" spans="1:1" x14ac:dyDescent="0.25">
      <c r="A950" s="1" t="s">
        <v>1602</v>
      </c>
    </row>
    <row r="951" spans="1:1" x14ac:dyDescent="0.25">
      <c r="A951" s="1" t="s">
        <v>1603</v>
      </c>
    </row>
    <row r="952" spans="1:1" x14ac:dyDescent="0.25">
      <c r="A952" s="1" t="s">
        <v>1604</v>
      </c>
    </row>
    <row r="953" spans="1:1" x14ac:dyDescent="0.25">
      <c r="A953" s="1" t="s">
        <v>1605</v>
      </c>
    </row>
    <row r="954" spans="1:1" x14ac:dyDescent="0.25">
      <c r="A954" s="1" t="s">
        <v>1606</v>
      </c>
    </row>
    <row r="955" spans="1:1" x14ac:dyDescent="0.25">
      <c r="A955" s="1" t="s">
        <v>1607</v>
      </c>
    </row>
    <row r="956" spans="1:1" x14ac:dyDescent="0.25">
      <c r="A956" s="1" t="s">
        <v>1608</v>
      </c>
    </row>
    <row r="957" spans="1:1" x14ac:dyDescent="0.25">
      <c r="A957" s="1" t="s">
        <v>1609</v>
      </c>
    </row>
    <row r="958" spans="1:1" x14ac:dyDescent="0.25">
      <c r="A958" s="1" t="s">
        <v>1610</v>
      </c>
    </row>
    <row r="959" spans="1:1" x14ac:dyDescent="0.25">
      <c r="A959" s="1" t="s">
        <v>1611</v>
      </c>
    </row>
    <row r="960" spans="1:1" x14ac:dyDescent="0.25">
      <c r="A960" s="1" t="s">
        <v>1612</v>
      </c>
    </row>
    <row r="961" spans="1:1" x14ac:dyDescent="0.25">
      <c r="A961" s="1" t="s">
        <v>1613</v>
      </c>
    </row>
    <row r="962" spans="1:1" x14ac:dyDescent="0.25">
      <c r="A962" s="1" t="s">
        <v>1614</v>
      </c>
    </row>
    <row r="963" spans="1:1" x14ac:dyDescent="0.25">
      <c r="A963" s="1" t="s">
        <v>1615</v>
      </c>
    </row>
    <row r="964" spans="1:1" x14ac:dyDescent="0.25">
      <c r="A964" s="1" t="s">
        <v>1616</v>
      </c>
    </row>
    <row r="965" spans="1:1" x14ac:dyDescent="0.25">
      <c r="A965" s="1" t="s">
        <v>1617</v>
      </c>
    </row>
    <row r="966" spans="1:1" x14ac:dyDescent="0.25">
      <c r="A966" s="1" t="s">
        <v>1618</v>
      </c>
    </row>
    <row r="967" spans="1:1" x14ac:dyDescent="0.25">
      <c r="A967" s="1" t="s">
        <v>1619</v>
      </c>
    </row>
    <row r="968" spans="1:1" x14ac:dyDescent="0.25">
      <c r="A968" s="1" t="s">
        <v>1620</v>
      </c>
    </row>
    <row r="969" spans="1:1" x14ac:dyDescent="0.25">
      <c r="A969" s="1" t="s">
        <v>1621</v>
      </c>
    </row>
    <row r="970" spans="1:1" x14ac:dyDescent="0.25">
      <c r="A970" s="1" t="s">
        <v>1622</v>
      </c>
    </row>
    <row r="971" spans="1:1" x14ac:dyDescent="0.25">
      <c r="A971" s="1" t="s">
        <v>1623</v>
      </c>
    </row>
    <row r="972" spans="1:1" x14ac:dyDescent="0.25">
      <c r="A972" s="1" t="s">
        <v>1624</v>
      </c>
    </row>
    <row r="973" spans="1:1" x14ac:dyDescent="0.25">
      <c r="A973" s="1" t="s">
        <v>1</v>
      </c>
    </row>
    <row r="974" spans="1:1" x14ac:dyDescent="0.25">
      <c r="A974" s="1" t="s">
        <v>1</v>
      </c>
    </row>
    <row r="975" spans="1:1" x14ac:dyDescent="0.25">
      <c r="A975" s="1" t="s">
        <v>1</v>
      </c>
    </row>
    <row r="976" spans="1:1" x14ac:dyDescent="0.25">
      <c r="A976" s="1" t="s">
        <v>1625</v>
      </c>
    </row>
    <row r="977" spans="1:1" x14ac:dyDescent="0.25">
      <c r="A977" s="1" t="s">
        <v>1</v>
      </c>
    </row>
    <row r="978" spans="1:1" x14ac:dyDescent="0.25">
      <c r="A978" s="1" t="s">
        <v>9</v>
      </c>
    </row>
    <row r="979" spans="1:1" x14ac:dyDescent="0.25">
      <c r="A979" s="1" t="s">
        <v>10</v>
      </c>
    </row>
    <row r="980" spans="1:1" x14ac:dyDescent="0.25">
      <c r="A980" s="1" t="s">
        <v>1626</v>
      </c>
    </row>
    <row r="981" spans="1:1" x14ac:dyDescent="0.25">
      <c r="A981" s="1" t="s">
        <v>1627</v>
      </c>
    </row>
    <row r="982" spans="1:1" x14ac:dyDescent="0.25">
      <c r="A982" s="1" t="s">
        <v>1628</v>
      </c>
    </row>
    <row r="983" spans="1:1" x14ac:dyDescent="0.25">
      <c r="A983" s="1" t="s">
        <v>1629</v>
      </c>
    </row>
    <row r="984" spans="1:1" x14ac:dyDescent="0.25">
      <c r="A984" s="1" t="s">
        <v>1630</v>
      </c>
    </row>
    <row r="985" spans="1:1" x14ac:dyDescent="0.25">
      <c r="A985" s="1" t="s">
        <v>1631</v>
      </c>
    </row>
    <row r="986" spans="1:1" x14ac:dyDescent="0.25">
      <c r="A986" s="1" t="s">
        <v>1632</v>
      </c>
    </row>
    <row r="987" spans="1:1" x14ac:dyDescent="0.25">
      <c r="A987" s="1" t="s">
        <v>1633</v>
      </c>
    </row>
    <row r="988" spans="1:1" x14ac:dyDescent="0.25">
      <c r="A988" s="1" t="s">
        <v>1634</v>
      </c>
    </row>
    <row r="989" spans="1:1" x14ac:dyDescent="0.25">
      <c r="A989" s="1" t="s">
        <v>1635</v>
      </c>
    </row>
    <row r="990" spans="1:1" x14ac:dyDescent="0.25">
      <c r="A990" s="1" t="s">
        <v>1636</v>
      </c>
    </row>
    <row r="991" spans="1:1" x14ac:dyDescent="0.25">
      <c r="A991" s="1" t="s">
        <v>1637</v>
      </c>
    </row>
    <row r="992" spans="1:1" x14ac:dyDescent="0.25">
      <c r="A992" s="1" t="s">
        <v>1638</v>
      </c>
    </row>
    <row r="993" spans="1:1" x14ac:dyDescent="0.25">
      <c r="A993" s="1" t="s">
        <v>1639</v>
      </c>
    </row>
    <row r="994" spans="1:1" x14ac:dyDescent="0.25">
      <c r="A994" s="1" t="s">
        <v>1640</v>
      </c>
    </row>
    <row r="995" spans="1:1" x14ac:dyDescent="0.25">
      <c r="A995" s="1" t="s">
        <v>1641</v>
      </c>
    </row>
    <row r="996" spans="1:1" x14ac:dyDescent="0.25">
      <c r="A996" s="1" t="s">
        <v>1642</v>
      </c>
    </row>
    <row r="997" spans="1:1" x14ac:dyDescent="0.25">
      <c r="A997" s="1" t="s">
        <v>1643</v>
      </c>
    </row>
    <row r="998" spans="1:1" x14ac:dyDescent="0.25">
      <c r="A998" s="1" t="s">
        <v>1644</v>
      </c>
    </row>
    <row r="999" spans="1:1" x14ac:dyDescent="0.25">
      <c r="A999" s="1" t="s">
        <v>1645</v>
      </c>
    </row>
    <row r="1000" spans="1:1" x14ac:dyDescent="0.25">
      <c r="A1000" s="1" t="s">
        <v>1646</v>
      </c>
    </row>
    <row r="1001" spans="1:1" x14ac:dyDescent="0.25">
      <c r="A1001" s="1" t="s">
        <v>1647</v>
      </c>
    </row>
    <row r="1002" spans="1:1" x14ac:dyDescent="0.25">
      <c r="A1002" s="1" t="s">
        <v>1648</v>
      </c>
    </row>
    <row r="1003" spans="1:1" x14ac:dyDescent="0.25">
      <c r="A1003" s="1" t="s">
        <v>1649</v>
      </c>
    </row>
    <row r="1004" spans="1:1" x14ac:dyDescent="0.25">
      <c r="A1004" s="1" t="s">
        <v>1650</v>
      </c>
    </row>
    <row r="1005" spans="1:1" x14ac:dyDescent="0.25">
      <c r="A1005" s="1" t="s">
        <v>1651</v>
      </c>
    </row>
    <row r="1006" spans="1:1" x14ac:dyDescent="0.25">
      <c r="A1006" s="1" t="s">
        <v>1652</v>
      </c>
    </row>
    <row r="1007" spans="1:1" x14ac:dyDescent="0.25">
      <c r="A1007" s="1" t="s">
        <v>1653</v>
      </c>
    </row>
    <row r="1008" spans="1:1" x14ac:dyDescent="0.25">
      <c r="A1008" s="1" t="s">
        <v>1654</v>
      </c>
    </row>
    <row r="1009" spans="1:1" x14ac:dyDescent="0.25">
      <c r="A1009" s="1" t="s">
        <v>1655</v>
      </c>
    </row>
    <row r="1010" spans="1:1" x14ac:dyDescent="0.25">
      <c r="A1010" s="1" t="s">
        <v>1</v>
      </c>
    </row>
    <row r="1011" spans="1:1" x14ac:dyDescent="0.25">
      <c r="A1011" s="1" t="s">
        <v>1</v>
      </c>
    </row>
    <row r="1012" spans="1:1" x14ac:dyDescent="0.25">
      <c r="A1012" s="1" t="s">
        <v>1</v>
      </c>
    </row>
    <row r="1013" spans="1:1" x14ac:dyDescent="0.25">
      <c r="A1013" s="1" t="s">
        <v>1656</v>
      </c>
    </row>
    <row r="1014" spans="1:1" x14ac:dyDescent="0.25">
      <c r="A1014" s="1" t="s">
        <v>1</v>
      </c>
    </row>
    <row r="1015" spans="1:1" x14ac:dyDescent="0.25">
      <c r="A1015" s="1" t="s">
        <v>9</v>
      </c>
    </row>
    <row r="1016" spans="1:1" x14ac:dyDescent="0.25">
      <c r="A1016" s="1" t="s">
        <v>10</v>
      </c>
    </row>
    <row r="1017" spans="1:1" x14ac:dyDescent="0.25">
      <c r="A1017" s="1" t="s">
        <v>1657</v>
      </c>
    </row>
    <row r="1018" spans="1:1" x14ac:dyDescent="0.25">
      <c r="A1018" s="1" t="s">
        <v>1658</v>
      </c>
    </row>
    <row r="1019" spans="1:1" x14ac:dyDescent="0.25">
      <c r="A1019" s="1" t="s">
        <v>1659</v>
      </c>
    </row>
    <row r="1020" spans="1:1" x14ac:dyDescent="0.25">
      <c r="A1020" s="1" t="s">
        <v>1660</v>
      </c>
    </row>
    <row r="1021" spans="1:1" x14ac:dyDescent="0.25">
      <c r="A1021" s="1" t="s">
        <v>1661</v>
      </c>
    </row>
    <row r="1022" spans="1:1" x14ac:dyDescent="0.25">
      <c r="A1022" s="1" t="s">
        <v>1662</v>
      </c>
    </row>
    <row r="1023" spans="1:1" x14ac:dyDescent="0.25">
      <c r="A1023" s="1" t="s">
        <v>1663</v>
      </c>
    </row>
    <row r="1024" spans="1:1" x14ac:dyDescent="0.25">
      <c r="A1024" s="1" t="s">
        <v>1664</v>
      </c>
    </row>
    <row r="1025" spans="1:1" x14ac:dyDescent="0.25">
      <c r="A1025" s="1" t="s">
        <v>1665</v>
      </c>
    </row>
    <row r="1026" spans="1:1" x14ac:dyDescent="0.25">
      <c r="A1026" s="1" t="s">
        <v>1666</v>
      </c>
    </row>
    <row r="1027" spans="1:1" x14ac:dyDescent="0.25">
      <c r="A1027" s="1" t="s">
        <v>1667</v>
      </c>
    </row>
    <row r="1028" spans="1:1" x14ac:dyDescent="0.25">
      <c r="A1028" s="1" t="s">
        <v>1668</v>
      </c>
    </row>
    <row r="1029" spans="1:1" x14ac:dyDescent="0.25">
      <c r="A1029" s="1" t="s">
        <v>1669</v>
      </c>
    </row>
    <row r="1030" spans="1:1" x14ac:dyDescent="0.25">
      <c r="A1030" s="1" t="s">
        <v>1670</v>
      </c>
    </row>
    <row r="1031" spans="1:1" x14ac:dyDescent="0.25">
      <c r="A1031" s="1" t="s">
        <v>1671</v>
      </c>
    </row>
    <row r="1032" spans="1:1" x14ac:dyDescent="0.25">
      <c r="A1032" s="1" t="s">
        <v>1672</v>
      </c>
    </row>
    <row r="1033" spans="1:1" x14ac:dyDescent="0.25">
      <c r="A1033" s="1" t="s">
        <v>1673</v>
      </c>
    </row>
    <row r="1034" spans="1:1" x14ac:dyDescent="0.25">
      <c r="A1034" s="1" t="s">
        <v>1674</v>
      </c>
    </row>
    <row r="1035" spans="1:1" x14ac:dyDescent="0.25">
      <c r="A1035" s="1" t="s">
        <v>1675</v>
      </c>
    </row>
    <row r="1036" spans="1:1" x14ac:dyDescent="0.25">
      <c r="A1036" s="1" t="s">
        <v>1676</v>
      </c>
    </row>
    <row r="1037" spans="1:1" x14ac:dyDescent="0.25">
      <c r="A1037" s="1" t="s">
        <v>1677</v>
      </c>
    </row>
    <row r="1038" spans="1:1" x14ac:dyDescent="0.25">
      <c r="A1038" s="1" t="s">
        <v>1678</v>
      </c>
    </row>
    <row r="1039" spans="1:1" x14ac:dyDescent="0.25">
      <c r="A1039" s="1" t="s">
        <v>1679</v>
      </c>
    </row>
    <row r="1040" spans="1:1" x14ac:dyDescent="0.25">
      <c r="A1040" s="1" t="s">
        <v>1680</v>
      </c>
    </row>
    <row r="1041" spans="1:1" x14ac:dyDescent="0.25">
      <c r="A1041" s="1" t="s">
        <v>1681</v>
      </c>
    </row>
    <row r="1042" spans="1:1" x14ac:dyDescent="0.25">
      <c r="A1042" s="1" t="s">
        <v>1682</v>
      </c>
    </row>
    <row r="1043" spans="1:1" x14ac:dyDescent="0.25">
      <c r="A1043" s="1" t="s">
        <v>1683</v>
      </c>
    </row>
    <row r="1044" spans="1:1" x14ac:dyDescent="0.25">
      <c r="A1044" s="1" t="s">
        <v>1684</v>
      </c>
    </row>
    <row r="1045" spans="1:1" x14ac:dyDescent="0.25">
      <c r="A1045" s="1" t="s">
        <v>1685</v>
      </c>
    </row>
    <row r="1046" spans="1:1" x14ac:dyDescent="0.25">
      <c r="A1046" s="1" t="s">
        <v>1686</v>
      </c>
    </row>
    <row r="1047" spans="1:1" x14ac:dyDescent="0.25">
      <c r="A1047" s="1" t="s">
        <v>1</v>
      </c>
    </row>
    <row r="1048" spans="1:1" x14ac:dyDescent="0.25">
      <c r="A1048" s="1" t="s">
        <v>1</v>
      </c>
    </row>
    <row r="1049" spans="1:1" x14ac:dyDescent="0.25">
      <c r="A1049" s="1" t="s">
        <v>1</v>
      </c>
    </row>
    <row r="1050" spans="1:1" x14ac:dyDescent="0.25">
      <c r="A1050" s="1" t="s">
        <v>1687</v>
      </c>
    </row>
    <row r="1051" spans="1:1" x14ac:dyDescent="0.25">
      <c r="A1051" s="1" t="s">
        <v>1</v>
      </c>
    </row>
    <row r="1052" spans="1:1" x14ac:dyDescent="0.25">
      <c r="A1052" s="1" t="s">
        <v>9</v>
      </c>
    </row>
    <row r="1053" spans="1:1" x14ac:dyDescent="0.25">
      <c r="A1053" s="1" t="s">
        <v>10</v>
      </c>
    </row>
    <row r="1054" spans="1:1" x14ac:dyDescent="0.25">
      <c r="A1054" s="1" t="s">
        <v>1688</v>
      </c>
    </row>
    <row r="1055" spans="1:1" x14ac:dyDescent="0.25">
      <c r="A1055" s="1" t="s">
        <v>1689</v>
      </c>
    </row>
    <row r="1056" spans="1:1" x14ac:dyDescent="0.25">
      <c r="A1056" s="1" t="s">
        <v>1690</v>
      </c>
    </row>
    <row r="1057" spans="1:1" x14ac:dyDescent="0.25">
      <c r="A1057" s="1" t="s">
        <v>1691</v>
      </c>
    </row>
    <row r="1058" spans="1:1" x14ac:dyDescent="0.25">
      <c r="A1058" s="1" t="s">
        <v>1692</v>
      </c>
    </row>
    <row r="1059" spans="1:1" x14ac:dyDescent="0.25">
      <c r="A1059" s="1" t="s">
        <v>1693</v>
      </c>
    </row>
    <row r="1060" spans="1:1" x14ac:dyDescent="0.25">
      <c r="A1060" s="1" t="s">
        <v>1694</v>
      </c>
    </row>
    <row r="1061" spans="1:1" x14ac:dyDescent="0.25">
      <c r="A1061" s="1" t="s">
        <v>1695</v>
      </c>
    </row>
    <row r="1062" spans="1:1" x14ac:dyDescent="0.25">
      <c r="A1062" s="1" t="s">
        <v>1696</v>
      </c>
    </row>
    <row r="1063" spans="1:1" x14ac:dyDescent="0.25">
      <c r="A1063" s="1" t="s">
        <v>1697</v>
      </c>
    </row>
    <row r="1064" spans="1:1" x14ac:dyDescent="0.25">
      <c r="A1064" s="1" t="s">
        <v>1698</v>
      </c>
    </row>
    <row r="1065" spans="1:1" x14ac:dyDescent="0.25">
      <c r="A1065" s="1" t="s">
        <v>1699</v>
      </c>
    </row>
    <row r="1066" spans="1:1" x14ac:dyDescent="0.25">
      <c r="A1066" s="1" t="s">
        <v>1700</v>
      </c>
    </row>
    <row r="1067" spans="1:1" x14ac:dyDescent="0.25">
      <c r="A1067" s="1" t="s">
        <v>1701</v>
      </c>
    </row>
    <row r="1068" spans="1:1" x14ac:dyDescent="0.25">
      <c r="A1068" s="1" t="s">
        <v>1702</v>
      </c>
    </row>
    <row r="1069" spans="1:1" x14ac:dyDescent="0.25">
      <c r="A1069" s="1" t="s">
        <v>1703</v>
      </c>
    </row>
    <row r="1070" spans="1:1" x14ac:dyDescent="0.25">
      <c r="A1070" s="1" t="s">
        <v>1704</v>
      </c>
    </row>
    <row r="1071" spans="1:1" x14ac:dyDescent="0.25">
      <c r="A1071" s="1" t="s">
        <v>1705</v>
      </c>
    </row>
    <row r="1072" spans="1:1" x14ac:dyDescent="0.25">
      <c r="A1072" s="1" t="s">
        <v>1706</v>
      </c>
    </row>
    <row r="1073" spans="1:1" x14ac:dyDescent="0.25">
      <c r="A1073" s="1" t="s">
        <v>1707</v>
      </c>
    </row>
    <row r="1074" spans="1:1" x14ac:dyDescent="0.25">
      <c r="A1074" s="1" t="s">
        <v>1708</v>
      </c>
    </row>
    <row r="1075" spans="1:1" x14ac:dyDescent="0.25">
      <c r="A1075" s="1" t="s">
        <v>1709</v>
      </c>
    </row>
    <row r="1076" spans="1:1" x14ac:dyDescent="0.25">
      <c r="A1076" s="1" t="s">
        <v>1710</v>
      </c>
    </row>
    <row r="1077" spans="1:1" x14ac:dyDescent="0.25">
      <c r="A1077" s="1" t="s">
        <v>1711</v>
      </c>
    </row>
    <row r="1078" spans="1:1" x14ac:dyDescent="0.25">
      <c r="A1078" s="1" t="s">
        <v>1712</v>
      </c>
    </row>
    <row r="1079" spans="1:1" x14ac:dyDescent="0.25">
      <c r="A1079" s="1" t="s">
        <v>1713</v>
      </c>
    </row>
    <row r="1080" spans="1:1" x14ac:dyDescent="0.25">
      <c r="A1080" s="1" t="s">
        <v>1714</v>
      </c>
    </row>
    <row r="1081" spans="1:1" x14ac:dyDescent="0.25">
      <c r="A1081" s="1" t="s">
        <v>1715</v>
      </c>
    </row>
    <row r="1082" spans="1:1" x14ac:dyDescent="0.25">
      <c r="A1082" s="1" t="s">
        <v>1716</v>
      </c>
    </row>
    <row r="1083" spans="1:1" x14ac:dyDescent="0.25">
      <c r="A1083" s="1" t="s">
        <v>1717</v>
      </c>
    </row>
    <row r="1084" spans="1:1" x14ac:dyDescent="0.25">
      <c r="A1084" s="1" t="s">
        <v>1</v>
      </c>
    </row>
    <row r="1085" spans="1:1" x14ac:dyDescent="0.25">
      <c r="A1085" s="1" t="s">
        <v>1</v>
      </c>
    </row>
    <row r="1086" spans="1:1" x14ac:dyDescent="0.25">
      <c r="A1086" s="1" t="s">
        <v>1</v>
      </c>
    </row>
    <row r="1087" spans="1:1" x14ac:dyDescent="0.25">
      <c r="A1087" s="1" t="s">
        <v>1718</v>
      </c>
    </row>
    <row r="1088" spans="1:1" x14ac:dyDescent="0.25">
      <c r="A1088" s="1" t="s">
        <v>1</v>
      </c>
    </row>
    <row r="1089" spans="1:1" x14ac:dyDescent="0.25">
      <c r="A1089" s="1" t="s">
        <v>9</v>
      </c>
    </row>
    <row r="1090" spans="1:1" x14ac:dyDescent="0.25">
      <c r="A1090" s="1" t="s">
        <v>10</v>
      </c>
    </row>
    <row r="1091" spans="1:1" x14ac:dyDescent="0.25">
      <c r="A1091" s="1" t="s">
        <v>1719</v>
      </c>
    </row>
    <row r="1092" spans="1:1" x14ac:dyDescent="0.25">
      <c r="A1092" s="1" t="s">
        <v>1720</v>
      </c>
    </row>
    <row r="1093" spans="1:1" x14ac:dyDescent="0.25">
      <c r="A1093" s="1" t="s">
        <v>1721</v>
      </c>
    </row>
    <row r="1094" spans="1:1" x14ac:dyDescent="0.25">
      <c r="A1094" s="1" t="s">
        <v>1722</v>
      </c>
    </row>
    <row r="1095" spans="1:1" x14ac:dyDescent="0.25">
      <c r="A1095" s="1" t="s">
        <v>1723</v>
      </c>
    </row>
    <row r="1096" spans="1:1" x14ac:dyDescent="0.25">
      <c r="A1096" s="1" t="s">
        <v>1724</v>
      </c>
    </row>
    <row r="1097" spans="1:1" x14ac:dyDescent="0.25">
      <c r="A1097" s="1" t="s">
        <v>1725</v>
      </c>
    </row>
    <row r="1098" spans="1:1" x14ac:dyDescent="0.25">
      <c r="A1098" s="1" t="s">
        <v>1726</v>
      </c>
    </row>
    <row r="1099" spans="1:1" x14ac:dyDescent="0.25">
      <c r="A1099" s="1" t="s">
        <v>1727</v>
      </c>
    </row>
    <row r="1100" spans="1:1" x14ac:dyDescent="0.25">
      <c r="A1100" s="1" t="s">
        <v>1728</v>
      </c>
    </row>
    <row r="1101" spans="1:1" x14ac:dyDescent="0.25">
      <c r="A1101" s="1" t="s">
        <v>1729</v>
      </c>
    </row>
    <row r="1102" spans="1:1" x14ac:dyDescent="0.25">
      <c r="A1102" s="1" t="s">
        <v>1730</v>
      </c>
    </row>
    <row r="1103" spans="1:1" x14ac:dyDescent="0.25">
      <c r="A1103" s="1" t="s">
        <v>1731</v>
      </c>
    </row>
    <row r="1104" spans="1:1" x14ac:dyDescent="0.25">
      <c r="A1104" s="1" t="s">
        <v>1732</v>
      </c>
    </row>
    <row r="1105" spans="1:1" x14ac:dyDescent="0.25">
      <c r="A1105" s="1" t="s">
        <v>1733</v>
      </c>
    </row>
    <row r="1106" spans="1:1" x14ac:dyDescent="0.25">
      <c r="A1106" s="1" t="s">
        <v>1734</v>
      </c>
    </row>
    <row r="1107" spans="1:1" x14ac:dyDescent="0.25">
      <c r="A1107" s="1" t="s">
        <v>1735</v>
      </c>
    </row>
    <row r="1108" spans="1:1" x14ac:dyDescent="0.25">
      <c r="A1108" s="1" t="s">
        <v>1736</v>
      </c>
    </row>
    <row r="1109" spans="1:1" x14ac:dyDescent="0.25">
      <c r="A1109" s="1" t="s">
        <v>1737</v>
      </c>
    </row>
    <row r="1110" spans="1:1" x14ac:dyDescent="0.25">
      <c r="A1110" s="1" t="s">
        <v>1738</v>
      </c>
    </row>
    <row r="1111" spans="1:1" x14ac:dyDescent="0.25">
      <c r="A1111" s="1" t="s">
        <v>1739</v>
      </c>
    </row>
    <row r="1112" spans="1:1" x14ac:dyDescent="0.25">
      <c r="A1112" s="1" t="s">
        <v>1740</v>
      </c>
    </row>
    <row r="1113" spans="1:1" x14ac:dyDescent="0.25">
      <c r="A1113" s="1" t="s">
        <v>1741</v>
      </c>
    </row>
    <row r="1114" spans="1:1" x14ac:dyDescent="0.25">
      <c r="A1114" s="1" t="s">
        <v>1742</v>
      </c>
    </row>
    <row r="1115" spans="1:1" x14ac:dyDescent="0.25">
      <c r="A1115" s="1" t="s">
        <v>1743</v>
      </c>
    </row>
    <row r="1116" spans="1:1" x14ac:dyDescent="0.25">
      <c r="A1116" s="1" t="s">
        <v>1744</v>
      </c>
    </row>
    <row r="1117" spans="1:1" x14ac:dyDescent="0.25">
      <c r="A1117" s="1" t="s">
        <v>1745</v>
      </c>
    </row>
    <row r="1118" spans="1:1" x14ac:dyDescent="0.25">
      <c r="A1118" s="1" t="s">
        <v>1746</v>
      </c>
    </row>
    <row r="1119" spans="1:1" x14ac:dyDescent="0.25">
      <c r="A1119" s="1" t="s">
        <v>1747</v>
      </c>
    </row>
    <row r="1120" spans="1:1" x14ac:dyDescent="0.25">
      <c r="A1120" s="1" t="s">
        <v>1748</v>
      </c>
    </row>
    <row r="1121" spans="1:1" x14ac:dyDescent="0.25">
      <c r="A1121" s="1" t="s">
        <v>1</v>
      </c>
    </row>
    <row r="1122" spans="1:1" x14ac:dyDescent="0.25">
      <c r="A1122" s="1" t="s">
        <v>1</v>
      </c>
    </row>
    <row r="1123" spans="1:1" x14ac:dyDescent="0.25">
      <c r="A1123" s="1" t="s">
        <v>1</v>
      </c>
    </row>
    <row r="1124" spans="1:1" x14ac:dyDescent="0.25">
      <c r="A1124" s="1" t="s">
        <v>1749</v>
      </c>
    </row>
    <row r="1125" spans="1:1" x14ac:dyDescent="0.25">
      <c r="A1125" s="1" t="s">
        <v>1</v>
      </c>
    </row>
    <row r="1126" spans="1:1" x14ac:dyDescent="0.25">
      <c r="A1126" s="1" t="s">
        <v>9</v>
      </c>
    </row>
    <row r="1127" spans="1:1" x14ac:dyDescent="0.25">
      <c r="A1127" s="1" t="s">
        <v>10</v>
      </c>
    </row>
    <row r="1128" spans="1:1" x14ac:dyDescent="0.25">
      <c r="A1128" s="1" t="s">
        <v>1750</v>
      </c>
    </row>
    <row r="1129" spans="1:1" x14ac:dyDescent="0.25">
      <c r="A1129" s="1" t="s">
        <v>1751</v>
      </c>
    </row>
    <row r="1130" spans="1:1" x14ac:dyDescent="0.25">
      <c r="A1130" s="1" t="s">
        <v>1752</v>
      </c>
    </row>
    <row r="1131" spans="1:1" x14ac:dyDescent="0.25">
      <c r="A1131" s="1" t="s">
        <v>1753</v>
      </c>
    </row>
    <row r="1132" spans="1:1" x14ac:dyDescent="0.25">
      <c r="A1132" s="1" t="s">
        <v>1754</v>
      </c>
    </row>
    <row r="1133" spans="1:1" x14ac:dyDescent="0.25">
      <c r="A1133" s="1" t="s">
        <v>1755</v>
      </c>
    </row>
    <row r="1134" spans="1:1" x14ac:dyDescent="0.25">
      <c r="A1134" s="1" t="s">
        <v>1756</v>
      </c>
    </row>
    <row r="1135" spans="1:1" x14ac:dyDescent="0.25">
      <c r="A1135" s="1" t="s">
        <v>1757</v>
      </c>
    </row>
    <row r="1136" spans="1:1" x14ac:dyDescent="0.25">
      <c r="A1136" s="1" t="s">
        <v>1758</v>
      </c>
    </row>
    <row r="1137" spans="1:1" x14ac:dyDescent="0.25">
      <c r="A1137" s="1" t="s">
        <v>1759</v>
      </c>
    </row>
    <row r="1138" spans="1:1" x14ac:dyDescent="0.25">
      <c r="A1138" s="1" t="s">
        <v>1760</v>
      </c>
    </row>
    <row r="1139" spans="1:1" x14ac:dyDescent="0.25">
      <c r="A1139" s="1" t="s">
        <v>1761</v>
      </c>
    </row>
    <row r="1140" spans="1:1" x14ac:dyDescent="0.25">
      <c r="A1140" s="1" t="s">
        <v>1762</v>
      </c>
    </row>
    <row r="1141" spans="1:1" x14ac:dyDescent="0.25">
      <c r="A1141" s="1" t="s">
        <v>1763</v>
      </c>
    </row>
    <row r="1142" spans="1:1" x14ac:dyDescent="0.25">
      <c r="A1142" s="1" t="s">
        <v>1764</v>
      </c>
    </row>
    <row r="1143" spans="1:1" x14ac:dyDescent="0.25">
      <c r="A1143" s="1" t="s">
        <v>1765</v>
      </c>
    </row>
    <row r="1144" spans="1:1" x14ac:dyDescent="0.25">
      <c r="A1144" s="1" t="s">
        <v>1766</v>
      </c>
    </row>
    <row r="1145" spans="1:1" x14ac:dyDescent="0.25">
      <c r="A1145" s="1" t="s">
        <v>1767</v>
      </c>
    </row>
    <row r="1146" spans="1:1" x14ac:dyDescent="0.25">
      <c r="A1146" s="1" t="s">
        <v>1768</v>
      </c>
    </row>
    <row r="1147" spans="1:1" x14ac:dyDescent="0.25">
      <c r="A1147" s="1" t="s">
        <v>1769</v>
      </c>
    </row>
    <row r="1148" spans="1:1" x14ac:dyDescent="0.25">
      <c r="A1148" s="1" t="s">
        <v>1770</v>
      </c>
    </row>
    <row r="1149" spans="1:1" x14ac:dyDescent="0.25">
      <c r="A1149" s="1" t="s">
        <v>1771</v>
      </c>
    </row>
    <row r="1150" spans="1:1" x14ac:dyDescent="0.25">
      <c r="A1150" s="1" t="s">
        <v>1772</v>
      </c>
    </row>
    <row r="1151" spans="1:1" x14ac:dyDescent="0.25">
      <c r="A1151" s="1" t="s">
        <v>1773</v>
      </c>
    </row>
    <row r="1152" spans="1:1" x14ac:dyDescent="0.25">
      <c r="A1152" s="1" t="s">
        <v>1774</v>
      </c>
    </row>
    <row r="1153" spans="1:1" x14ac:dyDescent="0.25">
      <c r="A1153" s="1" t="s">
        <v>1775</v>
      </c>
    </row>
    <row r="1154" spans="1:1" x14ac:dyDescent="0.25">
      <c r="A1154" s="1" t="s">
        <v>1776</v>
      </c>
    </row>
    <row r="1155" spans="1:1" x14ac:dyDescent="0.25">
      <c r="A1155" s="1" t="s">
        <v>1777</v>
      </c>
    </row>
    <row r="1156" spans="1:1" x14ac:dyDescent="0.25">
      <c r="A1156" s="1" t="s">
        <v>1778</v>
      </c>
    </row>
    <row r="1157" spans="1:1" x14ac:dyDescent="0.25">
      <c r="A1157" s="1" t="s">
        <v>1779</v>
      </c>
    </row>
    <row r="1158" spans="1:1" x14ac:dyDescent="0.25">
      <c r="A1158" s="1" t="s">
        <v>1</v>
      </c>
    </row>
    <row r="1159" spans="1:1" x14ac:dyDescent="0.25">
      <c r="A1159" s="1" t="s">
        <v>1</v>
      </c>
    </row>
    <row r="1160" spans="1:1" x14ac:dyDescent="0.25">
      <c r="A1160" s="1" t="s">
        <v>1</v>
      </c>
    </row>
  </sheetData>
  <hyperlinks>
    <hyperlink ref="BK2" r:id="rId1"/>
  </hyperlinks>
  <pageMargins left="0.7" right="0.7" top="0.75" bottom="0.75" header="0.3" footer="0.3"/>
  <pageSetup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T51"/>
  <sheetViews>
    <sheetView topLeftCell="Y1" zoomScale="85" zoomScaleNormal="85" workbookViewId="0">
      <selection activeCell="AN25" sqref="AN25"/>
    </sheetView>
  </sheetViews>
  <sheetFormatPr defaultRowHeight="15" x14ac:dyDescent="0.25"/>
  <cols>
    <col min="1" max="1" width="9.28515625" customWidth="1"/>
    <col min="2" max="2" width="10.85546875" customWidth="1"/>
    <col min="3" max="3" width="9.5703125" customWidth="1"/>
    <col min="4" max="4" width="11.140625" customWidth="1"/>
    <col min="5" max="5" width="10.7109375" customWidth="1"/>
    <col min="6" max="6" width="10.85546875" customWidth="1"/>
    <col min="7" max="7" width="9.5703125" customWidth="1"/>
    <col min="8" max="8" width="11.140625" customWidth="1"/>
    <col min="9" max="9" width="12.7109375" customWidth="1"/>
    <col min="10" max="10" width="16.42578125" customWidth="1"/>
    <col min="16" max="16" width="16.42578125" bestFit="1" customWidth="1"/>
  </cols>
  <sheetData>
    <row r="1" spans="1:20" x14ac:dyDescent="0.25">
      <c r="A1" s="7" t="s">
        <v>776</v>
      </c>
      <c r="B1" s="7" t="s">
        <v>776</v>
      </c>
      <c r="C1" s="7" t="s">
        <v>777</v>
      </c>
      <c r="D1" s="7" t="s">
        <v>778</v>
      </c>
      <c r="E1" s="7" t="s">
        <v>779</v>
      </c>
      <c r="F1" s="7" t="s">
        <v>776</v>
      </c>
      <c r="G1" s="7" t="s">
        <v>780</v>
      </c>
      <c r="H1" s="7" t="s">
        <v>669</v>
      </c>
      <c r="I1" s="7" t="s">
        <v>669</v>
      </c>
      <c r="J1" s="7" t="s">
        <v>794</v>
      </c>
      <c r="L1" t="s">
        <v>775</v>
      </c>
      <c r="P1" t="s">
        <v>796</v>
      </c>
      <c r="Q1" t="s">
        <v>797</v>
      </c>
      <c r="R1" t="s">
        <v>798</v>
      </c>
      <c r="T1">
        <v>900</v>
      </c>
    </row>
    <row r="2" spans="1:20" x14ac:dyDescent="0.25">
      <c r="A2" s="7" t="s">
        <v>786</v>
      </c>
      <c r="B2" s="7" t="s">
        <v>787</v>
      </c>
      <c r="C2" s="7" t="s">
        <v>788</v>
      </c>
      <c r="D2" s="7" t="s">
        <v>789</v>
      </c>
      <c r="E2" s="7" t="s">
        <v>777</v>
      </c>
      <c r="F2" s="7" t="s">
        <v>713</v>
      </c>
      <c r="G2" s="7" t="s">
        <v>790</v>
      </c>
      <c r="H2" s="7" t="s">
        <v>791</v>
      </c>
      <c r="I2" s="7" t="s">
        <v>792</v>
      </c>
      <c r="J2" s="7" t="s">
        <v>793</v>
      </c>
      <c r="L2" t="s">
        <v>795</v>
      </c>
      <c r="M2" t="s">
        <v>721</v>
      </c>
      <c r="P2" t="s">
        <v>713</v>
      </c>
      <c r="Q2" t="s">
        <v>713</v>
      </c>
      <c r="R2" t="s">
        <v>799</v>
      </c>
    </row>
    <row r="3" spans="1:20" x14ac:dyDescent="0.25">
      <c r="A3" s="7" t="s">
        <v>689</v>
      </c>
      <c r="B3" s="7" t="s">
        <v>781</v>
      </c>
      <c r="C3" s="7">
        <v>14.8</v>
      </c>
      <c r="D3" s="7">
        <v>7.94</v>
      </c>
      <c r="E3" s="7">
        <v>117.5</v>
      </c>
      <c r="F3" s="40">
        <v>11161</v>
      </c>
      <c r="G3" s="7">
        <v>52.8</v>
      </c>
      <c r="H3" s="7">
        <v>561.4</v>
      </c>
      <c r="I3" s="7">
        <v>19.8</v>
      </c>
      <c r="J3" s="7">
        <v>4.78</v>
      </c>
      <c r="L3">
        <f>F3*MID(B3,FIND("x",B3,1)+1,1)/1056</f>
        <v>52.845643939393938</v>
      </c>
      <c r="M3">
        <f>L3*5280/3600</f>
        <v>77.506944444444443</v>
      </c>
      <c r="P3">
        <f>$T$1*C3</f>
        <v>13320</v>
      </c>
      <c r="Q3" s="39">
        <f>P3-F3</f>
        <v>2159</v>
      </c>
      <c r="R3" t="str">
        <f>MID(B3,FIND("x",B3,1)+1,1)</f>
        <v>5</v>
      </c>
      <c r="T3" s="39">
        <f>P3-Q3</f>
        <v>11161</v>
      </c>
    </row>
    <row r="4" spans="1:20" x14ac:dyDescent="0.25">
      <c r="A4" s="7" t="s">
        <v>689</v>
      </c>
      <c r="B4" s="7" t="s">
        <v>782</v>
      </c>
      <c r="C4" s="7">
        <v>14.8</v>
      </c>
      <c r="D4" s="7">
        <v>8.34</v>
      </c>
      <c r="E4" s="7">
        <v>123.4</v>
      </c>
      <c r="F4" s="40">
        <v>11061</v>
      </c>
      <c r="G4" s="7">
        <v>62.8</v>
      </c>
      <c r="H4" s="7">
        <v>603.5</v>
      </c>
      <c r="I4" s="7">
        <v>21.29</v>
      </c>
      <c r="J4" s="7">
        <v>4.8899999999999997</v>
      </c>
      <c r="L4">
        <f>F4*MID(B4,FIND("x",B4,1)+1,1)/1056</f>
        <v>62.846590909090907</v>
      </c>
      <c r="M4">
        <f t="shared" ref="M4:M51" si="0">L4*5280/3600</f>
        <v>92.174999999999997</v>
      </c>
      <c r="P4">
        <f>$T$1*C4</f>
        <v>13320</v>
      </c>
      <c r="Q4" s="39">
        <f>P4-F4</f>
        <v>2259</v>
      </c>
      <c r="R4" t="str">
        <f>MID(B4,FIND("x",B4,1)+1,1)</f>
        <v>6</v>
      </c>
    </row>
    <row r="5" spans="1:20" x14ac:dyDescent="0.25">
      <c r="A5" s="7" t="s">
        <v>689</v>
      </c>
      <c r="B5" s="7" t="s">
        <v>783</v>
      </c>
      <c r="C5" s="7">
        <v>14.8</v>
      </c>
      <c r="D5" s="7">
        <v>9.17</v>
      </c>
      <c r="E5" s="7">
        <v>135.69999999999999</v>
      </c>
      <c r="F5" s="40">
        <v>10838</v>
      </c>
      <c r="G5" s="7">
        <v>41.1</v>
      </c>
      <c r="H5" s="7">
        <v>753.6</v>
      </c>
      <c r="I5" s="7">
        <v>26.58</v>
      </c>
      <c r="J5" s="7">
        <v>5.55</v>
      </c>
      <c r="L5">
        <f>F5*MID(B5,FIND("x",B5,1)+1,1)/1056</f>
        <v>41.053030303030305</v>
      </c>
      <c r="M5">
        <f t="shared" si="0"/>
        <v>60.211111111111109</v>
      </c>
      <c r="P5">
        <f>$T$1*C5</f>
        <v>13320</v>
      </c>
      <c r="Q5" s="39">
        <f>P5-F5</f>
        <v>2482</v>
      </c>
      <c r="R5" t="str">
        <f>MID(B5,FIND("x",B5,1)+1,1)</f>
        <v>4</v>
      </c>
    </row>
    <row r="6" spans="1:20" x14ac:dyDescent="0.25">
      <c r="A6" s="7" t="s">
        <v>689</v>
      </c>
      <c r="B6" s="7" t="s">
        <v>784</v>
      </c>
      <c r="C6" s="7">
        <v>14.8</v>
      </c>
      <c r="D6" s="7">
        <v>12.79</v>
      </c>
      <c r="E6" s="7">
        <v>189.2</v>
      </c>
      <c r="F6" s="40">
        <v>9934</v>
      </c>
      <c r="G6" s="7">
        <v>56.4</v>
      </c>
      <c r="H6" s="7">
        <v>846.1</v>
      </c>
      <c r="I6" s="7">
        <v>29.84</v>
      </c>
      <c r="J6" s="7">
        <v>4.47</v>
      </c>
      <c r="L6">
        <f>F6*MID(B6,FIND("x",B6,1)+1,1)/1056</f>
        <v>56.44318181818182</v>
      </c>
      <c r="M6">
        <f t="shared" si="0"/>
        <v>82.783333333333331</v>
      </c>
      <c r="P6">
        <f>$T$1*C6</f>
        <v>13320</v>
      </c>
      <c r="Q6" s="39">
        <f>P6-F6</f>
        <v>3386</v>
      </c>
      <c r="R6" t="str">
        <f>MID(B6,FIND("x",B6,1)+1,1)</f>
        <v>6</v>
      </c>
    </row>
    <row r="7" spans="1:20" x14ac:dyDescent="0.25">
      <c r="A7" s="7" t="s">
        <v>689</v>
      </c>
      <c r="B7" s="7" t="s">
        <v>785</v>
      </c>
      <c r="C7" s="7">
        <v>14.8</v>
      </c>
      <c r="D7" s="7">
        <v>16.149999999999999</v>
      </c>
      <c r="E7" s="7">
        <v>239</v>
      </c>
      <c r="F7" s="40">
        <v>8957</v>
      </c>
      <c r="G7" s="7">
        <v>67.900000000000006</v>
      </c>
      <c r="H7" s="7">
        <v>722.4</v>
      </c>
      <c r="I7" s="7">
        <v>25.48</v>
      </c>
      <c r="J7" s="7">
        <v>3.02</v>
      </c>
      <c r="L7">
        <f>F7*MID(B7,FIND("x",B7,1)+1,1)/1056</f>
        <v>67.856060606060609</v>
      </c>
      <c r="M7">
        <f t="shared" si="0"/>
        <v>99.522222222222226</v>
      </c>
      <c r="P7">
        <f>$T$1*C7</f>
        <v>13320</v>
      </c>
      <c r="Q7" s="39">
        <f>P7-F7</f>
        <v>4363</v>
      </c>
      <c r="R7" t="str">
        <f>MID(B7,FIND("x",B7,1)+1,1)</f>
        <v>8</v>
      </c>
    </row>
    <row r="8" spans="1:20" x14ac:dyDescent="0.25">
      <c r="P8">
        <f>(F3/P3)</f>
        <v>0.83791291291291292</v>
      </c>
      <c r="Q8" s="39"/>
    </row>
    <row r="9" spans="1:20" x14ac:dyDescent="0.25">
      <c r="P9">
        <f>(F4/P4)</f>
        <v>0.83040540540540542</v>
      </c>
      <c r="Q9" s="39"/>
    </row>
    <row r="10" spans="1:20" x14ac:dyDescent="0.25">
      <c r="P10">
        <f>(F5/P5)</f>
        <v>0.81366366366366372</v>
      </c>
      <c r="Q10" s="39"/>
    </row>
    <row r="11" spans="1:20" ht="14.25" customHeight="1" x14ac:dyDescent="0.25">
      <c r="P11">
        <f t="shared" ref="P11:P16" si="1">(F6/P6)</f>
        <v>0.7457957957957958</v>
      </c>
      <c r="Q11" s="39"/>
    </row>
    <row r="12" spans="1:20" hidden="1" x14ac:dyDescent="0.25">
      <c r="P12">
        <f t="shared" si="1"/>
        <v>0.67244744744744744</v>
      </c>
      <c r="Q12" s="39"/>
    </row>
    <row r="13" spans="1:20" hidden="1" x14ac:dyDescent="0.25">
      <c r="A13" t="s">
        <v>689</v>
      </c>
      <c r="B13" t="s">
        <v>800</v>
      </c>
      <c r="C13">
        <v>7.4</v>
      </c>
      <c r="D13">
        <v>6.96</v>
      </c>
      <c r="E13">
        <v>51.5</v>
      </c>
      <c r="F13" s="39">
        <v>5051</v>
      </c>
      <c r="G13">
        <v>28.7</v>
      </c>
      <c r="H13">
        <v>396.9</v>
      </c>
      <c r="I13">
        <v>14</v>
      </c>
      <c r="J13">
        <v>7.71</v>
      </c>
      <c r="P13">
        <f t="shared" si="1"/>
        <v>0</v>
      </c>
      <c r="Q13" s="39"/>
    </row>
    <row r="14" spans="1:20" hidden="1" x14ac:dyDescent="0.25">
      <c r="A14" t="s">
        <v>689</v>
      </c>
      <c r="B14" t="s">
        <v>801</v>
      </c>
      <c r="C14">
        <v>7.4</v>
      </c>
      <c r="D14">
        <v>8.1199999999999992</v>
      </c>
      <c r="E14">
        <v>60.1</v>
      </c>
      <c r="F14" s="39">
        <v>4818</v>
      </c>
      <c r="G14">
        <v>34.200000000000003</v>
      </c>
      <c r="H14">
        <v>381.6</v>
      </c>
      <c r="I14">
        <v>13.46</v>
      </c>
      <c r="J14">
        <v>6.35</v>
      </c>
      <c r="P14">
        <f t="shared" si="1"/>
        <v>0</v>
      </c>
      <c r="Q14" s="39"/>
    </row>
    <row r="15" spans="1:20" hidden="1" x14ac:dyDescent="0.25">
      <c r="A15" t="s">
        <v>689</v>
      </c>
      <c r="B15" t="s">
        <v>802</v>
      </c>
      <c r="C15">
        <v>7.4</v>
      </c>
      <c r="D15">
        <v>6.35</v>
      </c>
      <c r="E15">
        <v>47</v>
      </c>
      <c r="F15" s="39">
        <v>5166</v>
      </c>
      <c r="G15">
        <v>18.600000000000001</v>
      </c>
      <c r="H15">
        <v>434.5</v>
      </c>
      <c r="I15">
        <v>15.33</v>
      </c>
      <c r="J15">
        <v>9.25</v>
      </c>
      <c r="P15">
        <f t="shared" si="1"/>
        <v>0</v>
      </c>
      <c r="Q15" s="39"/>
    </row>
    <row r="16" spans="1:20" x14ac:dyDescent="0.25">
      <c r="P16">
        <f t="shared" si="1"/>
        <v>0</v>
      </c>
      <c r="Q16" s="39"/>
    </row>
    <row r="17" spans="1:18" x14ac:dyDescent="0.25">
      <c r="Q17" s="39"/>
    </row>
    <row r="18" spans="1:18" x14ac:dyDescent="0.25">
      <c r="Q18" s="39"/>
    </row>
    <row r="19" spans="1:18" x14ac:dyDescent="0.25">
      <c r="A19" s="41" t="s">
        <v>776</v>
      </c>
      <c r="B19" s="41" t="s">
        <v>835</v>
      </c>
      <c r="C19" s="41" t="s">
        <v>777</v>
      </c>
      <c r="D19" s="41" t="s">
        <v>778</v>
      </c>
      <c r="E19" s="41" t="s">
        <v>779</v>
      </c>
      <c r="F19" s="41" t="s">
        <v>836</v>
      </c>
      <c r="G19" s="41" t="s">
        <v>780</v>
      </c>
      <c r="H19" s="41" t="s">
        <v>669</v>
      </c>
      <c r="I19" s="41" t="s">
        <v>837</v>
      </c>
      <c r="J19" s="41" t="s">
        <v>794</v>
      </c>
      <c r="Q19" s="39"/>
    </row>
    <row r="20" spans="1:18" x14ac:dyDescent="0.25">
      <c r="A20" t="s">
        <v>689</v>
      </c>
      <c r="B20" t="s">
        <v>806</v>
      </c>
      <c r="C20">
        <v>7.4</v>
      </c>
      <c r="D20">
        <v>10.050000000000001</v>
      </c>
      <c r="E20">
        <v>74.400000000000006</v>
      </c>
      <c r="F20" s="39">
        <v>4430</v>
      </c>
      <c r="G20">
        <v>42</v>
      </c>
      <c r="H20">
        <v>341.3</v>
      </c>
      <c r="I20">
        <v>12.04</v>
      </c>
      <c r="J20">
        <v>4.59</v>
      </c>
      <c r="L20">
        <f t="shared" ref="L20:L51" si="2">F20*MID(B20,FIND("x",B20,1)+1,1)/1056</f>
        <v>4.1950757575757578</v>
      </c>
      <c r="M20">
        <f t="shared" si="0"/>
        <v>6.1527777777777777</v>
      </c>
      <c r="P20">
        <f t="shared" ref="P20:P51" si="3">$T$1*C20</f>
        <v>6660</v>
      </c>
      <c r="Q20" s="39">
        <f t="shared" ref="Q20:Q51" si="4">P20-F20</f>
        <v>2230</v>
      </c>
      <c r="R20" t="str">
        <f t="shared" ref="R20:R51" si="5">MID(B20,FIND("x",B20,1)+1,1)</f>
        <v>1</v>
      </c>
    </row>
    <row r="21" spans="1:18" x14ac:dyDescent="0.25">
      <c r="A21" t="s">
        <v>689</v>
      </c>
      <c r="B21" t="s">
        <v>803</v>
      </c>
      <c r="C21">
        <v>7.4</v>
      </c>
      <c r="D21">
        <v>7.05</v>
      </c>
      <c r="E21">
        <v>52.2</v>
      </c>
      <c r="F21" s="39">
        <v>5033</v>
      </c>
      <c r="G21">
        <v>22.4</v>
      </c>
      <c r="H21">
        <v>466.6</v>
      </c>
      <c r="I21">
        <v>16.46</v>
      </c>
      <c r="J21">
        <v>8.94</v>
      </c>
      <c r="L21">
        <f t="shared" si="2"/>
        <v>19.064393939393938</v>
      </c>
      <c r="M21">
        <f t="shared" si="0"/>
        <v>27.961111111111109</v>
      </c>
      <c r="P21">
        <f t="shared" si="3"/>
        <v>6660</v>
      </c>
      <c r="Q21" s="39">
        <f t="shared" si="4"/>
        <v>1627</v>
      </c>
      <c r="R21" t="str">
        <f t="shared" si="5"/>
        <v>4</v>
      </c>
    </row>
    <row r="22" spans="1:18" x14ac:dyDescent="0.25">
      <c r="A22" t="s">
        <v>689</v>
      </c>
      <c r="B22" t="s">
        <v>804</v>
      </c>
      <c r="C22">
        <v>7.4</v>
      </c>
      <c r="D22">
        <v>7.06</v>
      </c>
      <c r="E22">
        <v>52.2</v>
      </c>
      <c r="F22" s="39">
        <v>5024</v>
      </c>
      <c r="G22">
        <v>33.299999999999997</v>
      </c>
      <c r="H22">
        <v>405.7</v>
      </c>
      <c r="I22">
        <v>14.31</v>
      </c>
      <c r="J22">
        <v>7.77</v>
      </c>
      <c r="L22">
        <f t="shared" si="2"/>
        <v>33.303030303030305</v>
      </c>
      <c r="M22">
        <f t="shared" si="0"/>
        <v>48.844444444444441</v>
      </c>
      <c r="P22">
        <f t="shared" si="3"/>
        <v>6660</v>
      </c>
      <c r="Q22" s="39">
        <f t="shared" si="4"/>
        <v>1636</v>
      </c>
      <c r="R22" t="str">
        <f t="shared" si="5"/>
        <v>7</v>
      </c>
    </row>
    <row r="23" spans="1:18" x14ac:dyDescent="0.25">
      <c r="A23" t="s">
        <v>689</v>
      </c>
      <c r="B23" t="s">
        <v>805</v>
      </c>
      <c r="C23">
        <v>7.4</v>
      </c>
      <c r="D23">
        <v>9.16</v>
      </c>
      <c r="E23">
        <v>67.8</v>
      </c>
      <c r="F23" s="39">
        <v>4607</v>
      </c>
      <c r="G23">
        <v>30.5</v>
      </c>
      <c r="H23">
        <v>493.6</v>
      </c>
      <c r="I23">
        <v>17.41</v>
      </c>
      <c r="J23">
        <v>7.28</v>
      </c>
      <c r="L23">
        <f t="shared" si="2"/>
        <v>30.538825757575758</v>
      </c>
      <c r="M23">
        <f t="shared" si="0"/>
        <v>44.790277777777774</v>
      </c>
      <c r="P23">
        <f t="shared" si="3"/>
        <v>6660</v>
      </c>
      <c r="Q23" s="39">
        <f t="shared" si="4"/>
        <v>2053</v>
      </c>
      <c r="R23" t="str">
        <f t="shared" si="5"/>
        <v>7</v>
      </c>
    </row>
    <row r="24" spans="1:18" x14ac:dyDescent="0.25">
      <c r="A24" t="s">
        <v>689</v>
      </c>
      <c r="B24" t="s">
        <v>814</v>
      </c>
      <c r="C24">
        <v>7.4</v>
      </c>
      <c r="D24">
        <v>11.2</v>
      </c>
      <c r="E24">
        <v>82.9</v>
      </c>
      <c r="F24" s="39">
        <v>4191</v>
      </c>
      <c r="G24">
        <v>39.700000000000003</v>
      </c>
      <c r="H24">
        <v>398.6</v>
      </c>
      <c r="I24">
        <v>14.06</v>
      </c>
      <c r="J24">
        <v>4.8099999999999996</v>
      </c>
      <c r="L24">
        <f t="shared" si="2"/>
        <v>3.96875</v>
      </c>
      <c r="M24">
        <f t="shared" si="0"/>
        <v>5.8208333333333337</v>
      </c>
      <c r="P24">
        <f t="shared" si="3"/>
        <v>6660</v>
      </c>
      <c r="Q24" s="39">
        <f t="shared" si="4"/>
        <v>2469</v>
      </c>
      <c r="R24" t="str">
        <f t="shared" si="5"/>
        <v>1</v>
      </c>
    </row>
    <row r="25" spans="1:18" x14ac:dyDescent="0.25">
      <c r="A25" t="s">
        <v>689</v>
      </c>
      <c r="B25" t="s">
        <v>807</v>
      </c>
      <c r="C25">
        <v>7.4</v>
      </c>
      <c r="D25">
        <v>7.07</v>
      </c>
      <c r="E25">
        <v>52.3</v>
      </c>
      <c r="F25" s="39">
        <v>5020</v>
      </c>
      <c r="G25">
        <v>18.100000000000001</v>
      </c>
      <c r="H25">
        <v>486</v>
      </c>
      <c r="I25">
        <v>17.14</v>
      </c>
      <c r="J25">
        <v>9.2799999999999994</v>
      </c>
      <c r="L25">
        <f t="shared" si="2"/>
        <v>14.261363636363637</v>
      </c>
      <c r="M25">
        <f t="shared" si="0"/>
        <v>20.916666666666668</v>
      </c>
      <c r="P25">
        <f t="shared" si="3"/>
        <v>6660</v>
      </c>
      <c r="Q25" s="39">
        <f t="shared" si="4"/>
        <v>1640</v>
      </c>
      <c r="R25" t="str">
        <f t="shared" si="5"/>
        <v>3</v>
      </c>
    </row>
    <row r="26" spans="1:18" x14ac:dyDescent="0.25">
      <c r="A26" t="s">
        <v>689</v>
      </c>
      <c r="B26" t="s">
        <v>808</v>
      </c>
      <c r="C26">
        <v>7.4</v>
      </c>
      <c r="D26">
        <v>8.6300000000000008</v>
      </c>
      <c r="E26">
        <v>63.9</v>
      </c>
      <c r="F26" s="39">
        <v>4718</v>
      </c>
      <c r="G26">
        <v>21</v>
      </c>
      <c r="H26">
        <v>553.9</v>
      </c>
      <c r="I26">
        <v>19.54</v>
      </c>
      <c r="J26">
        <v>8.67</v>
      </c>
      <c r="L26">
        <f t="shared" si="2"/>
        <v>17.871212121212121</v>
      </c>
      <c r="M26">
        <f t="shared" si="0"/>
        <v>26.211111111111112</v>
      </c>
      <c r="P26">
        <f t="shared" si="3"/>
        <v>6660</v>
      </c>
      <c r="Q26" s="39">
        <f t="shared" si="4"/>
        <v>1942</v>
      </c>
      <c r="R26" t="str">
        <f t="shared" si="5"/>
        <v>4</v>
      </c>
    </row>
    <row r="27" spans="1:18" x14ac:dyDescent="0.25">
      <c r="A27" t="s">
        <v>689</v>
      </c>
      <c r="B27" t="s">
        <v>809</v>
      </c>
      <c r="C27">
        <v>7.4</v>
      </c>
      <c r="D27">
        <v>7.21</v>
      </c>
      <c r="E27">
        <v>53.3</v>
      </c>
      <c r="F27" s="39">
        <v>4991</v>
      </c>
      <c r="G27">
        <v>26</v>
      </c>
      <c r="H27">
        <v>494.2</v>
      </c>
      <c r="I27">
        <v>17.43</v>
      </c>
      <c r="J27">
        <v>9.26</v>
      </c>
      <c r="L27">
        <f t="shared" si="2"/>
        <v>23.631628787878789</v>
      </c>
      <c r="M27">
        <f t="shared" si="0"/>
        <v>34.659722222222221</v>
      </c>
      <c r="P27">
        <f t="shared" si="3"/>
        <v>6660</v>
      </c>
      <c r="Q27" s="39">
        <f t="shared" si="4"/>
        <v>1669</v>
      </c>
      <c r="R27" t="str">
        <f t="shared" si="5"/>
        <v>5</v>
      </c>
    </row>
    <row r="28" spans="1:18" x14ac:dyDescent="0.25">
      <c r="A28" t="s">
        <v>689</v>
      </c>
      <c r="B28" t="s">
        <v>810</v>
      </c>
      <c r="C28">
        <v>7.4</v>
      </c>
      <c r="D28">
        <v>8.3699999999999992</v>
      </c>
      <c r="E28">
        <v>61.9</v>
      </c>
      <c r="F28" s="39">
        <v>4770</v>
      </c>
      <c r="G28">
        <v>31.6</v>
      </c>
      <c r="H28">
        <v>512.79999999999995</v>
      </c>
      <c r="I28">
        <v>18.09</v>
      </c>
      <c r="J28">
        <v>8.2799999999999994</v>
      </c>
      <c r="L28">
        <f t="shared" si="2"/>
        <v>31.619318181818183</v>
      </c>
      <c r="M28">
        <f t="shared" si="0"/>
        <v>46.375</v>
      </c>
      <c r="P28">
        <f t="shared" si="3"/>
        <v>6660</v>
      </c>
      <c r="Q28" s="39">
        <f t="shared" si="4"/>
        <v>1890</v>
      </c>
      <c r="R28" t="str">
        <f t="shared" si="5"/>
        <v>7</v>
      </c>
    </row>
    <row r="29" spans="1:18" x14ac:dyDescent="0.25">
      <c r="A29" t="s">
        <v>689</v>
      </c>
      <c r="B29" t="s">
        <v>811</v>
      </c>
      <c r="C29">
        <v>7.4</v>
      </c>
      <c r="D29">
        <v>11.07</v>
      </c>
      <c r="E29">
        <v>81.900000000000006</v>
      </c>
      <c r="F29" s="39">
        <v>4217</v>
      </c>
      <c r="G29">
        <v>28</v>
      </c>
      <c r="H29">
        <v>602</v>
      </c>
      <c r="I29">
        <v>21.23</v>
      </c>
      <c r="J29">
        <v>7.35</v>
      </c>
      <c r="L29">
        <f t="shared" si="2"/>
        <v>27.953598484848484</v>
      </c>
      <c r="M29">
        <f t="shared" si="0"/>
        <v>40.99861111111111</v>
      </c>
      <c r="P29">
        <f t="shared" si="3"/>
        <v>6660</v>
      </c>
      <c r="Q29" s="39">
        <f t="shared" si="4"/>
        <v>2443</v>
      </c>
      <c r="R29" t="str">
        <f t="shared" si="5"/>
        <v>7</v>
      </c>
    </row>
    <row r="30" spans="1:18" x14ac:dyDescent="0.25">
      <c r="A30" t="s">
        <v>689</v>
      </c>
      <c r="B30" t="s">
        <v>813</v>
      </c>
      <c r="C30">
        <v>7.4</v>
      </c>
      <c r="D30">
        <v>9.48</v>
      </c>
      <c r="E30">
        <v>70.099999999999994</v>
      </c>
      <c r="F30" s="39">
        <v>4539</v>
      </c>
      <c r="G30">
        <v>36.5</v>
      </c>
      <c r="H30">
        <v>503.3</v>
      </c>
      <c r="I30">
        <v>17.75</v>
      </c>
      <c r="J30">
        <v>7.18</v>
      </c>
      <c r="L30">
        <f t="shared" si="2"/>
        <v>34.386363636363633</v>
      </c>
      <c r="M30">
        <f t="shared" si="0"/>
        <v>50.433333333333323</v>
      </c>
      <c r="P30">
        <f t="shared" si="3"/>
        <v>6660</v>
      </c>
      <c r="Q30" s="39">
        <f t="shared" si="4"/>
        <v>2121</v>
      </c>
      <c r="R30" t="str">
        <f t="shared" si="5"/>
        <v>8</v>
      </c>
    </row>
    <row r="31" spans="1:18" x14ac:dyDescent="0.25">
      <c r="A31" t="s">
        <v>689</v>
      </c>
      <c r="B31" t="s">
        <v>812</v>
      </c>
      <c r="C31">
        <v>7.4</v>
      </c>
      <c r="D31">
        <v>9.25</v>
      </c>
      <c r="E31">
        <v>68.5</v>
      </c>
      <c r="F31" s="39">
        <v>4588</v>
      </c>
      <c r="G31">
        <v>34.799999999999997</v>
      </c>
      <c r="H31">
        <v>455</v>
      </c>
      <c r="I31">
        <v>16.05</v>
      </c>
      <c r="J31">
        <v>6.64</v>
      </c>
      <c r="L31">
        <f t="shared" si="2"/>
        <v>34.757575757575758</v>
      </c>
      <c r="M31">
        <f t="shared" si="0"/>
        <v>50.977777777777774</v>
      </c>
      <c r="P31">
        <f t="shared" si="3"/>
        <v>6660</v>
      </c>
      <c r="Q31" s="39">
        <f t="shared" si="4"/>
        <v>2072</v>
      </c>
      <c r="R31" t="str">
        <f t="shared" si="5"/>
        <v>8</v>
      </c>
    </row>
    <row r="32" spans="1:18" x14ac:dyDescent="0.25">
      <c r="A32" t="s">
        <v>689</v>
      </c>
      <c r="B32" t="s">
        <v>820</v>
      </c>
      <c r="C32">
        <v>7.4</v>
      </c>
      <c r="D32">
        <v>12.33</v>
      </c>
      <c r="E32">
        <v>91.2</v>
      </c>
      <c r="F32" s="39">
        <v>3948</v>
      </c>
      <c r="G32">
        <v>37.4</v>
      </c>
      <c r="H32">
        <v>466.9</v>
      </c>
      <c r="I32">
        <v>16.47</v>
      </c>
      <c r="J32">
        <v>5.12</v>
      </c>
      <c r="L32">
        <f t="shared" si="2"/>
        <v>3.7386363636363638</v>
      </c>
      <c r="M32">
        <f t="shared" si="0"/>
        <v>5.4833333333333334</v>
      </c>
      <c r="P32">
        <f t="shared" si="3"/>
        <v>6660</v>
      </c>
      <c r="Q32" s="39">
        <f t="shared" si="4"/>
        <v>2712</v>
      </c>
      <c r="R32" t="str">
        <f t="shared" si="5"/>
        <v>1</v>
      </c>
    </row>
    <row r="33" spans="1:18" x14ac:dyDescent="0.25">
      <c r="A33" t="s">
        <v>689</v>
      </c>
      <c r="B33" t="s">
        <v>821</v>
      </c>
      <c r="C33">
        <v>7.4</v>
      </c>
      <c r="D33">
        <v>13.86</v>
      </c>
      <c r="E33">
        <v>102.6</v>
      </c>
      <c r="F33" s="39">
        <v>3636</v>
      </c>
      <c r="G33">
        <v>41.3</v>
      </c>
      <c r="H33">
        <v>410.3</v>
      </c>
      <c r="I33">
        <v>14.47</v>
      </c>
      <c r="J33">
        <v>4</v>
      </c>
      <c r="L33">
        <f t="shared" si="2"/>
        <v>3.4431818181818183</v>
      </c>
      <c r="M33">
        <f t="shared" si="0"/>
        <v>5.05</v>
      </c>
      <c r="P33">
        <f t="shared" si="3"/>
        <v>6660</v>
      </c>
      <c r="Q33" s="39">
        <f t="shared" si="4"/>
        <v>3024</v>
      </c>
      <c r="R33" t="str">
        <f t="shared" si="5"/>
        <v>1</v>
      </c>
    </row>
    <row r="34" spans="1:18" x14ac:dyDescent="0.25">
      <c r="A34" t="s">
        <v>689</v>
      </c>
      <c r="B34" t="s">
        <v>815</v>
      </c>
      <c r="C34">
        <v>7.4</v>
      </c>
      <c r="D34">
        <v>9.58</v>
      </c>
      <c r="E34">
        <v>70.900000000000006</v>
      </c>
      <c r="F34" s="39">
        <v>4519</v>
      </c>
      <c r="G34">
        <v>16.3</v>
      </c>
      <c r="H34">
        <v>602.29999999999995</v>
      </c>
      <c r="I34">
        <v>21.25</v>
      </c>
      <c r="J34">
        <v>8.5</v>
      </c>
      <c r="L34">
        <f t="shared" si="2"/>
        <v>12.838068181818182</v>
      </c>
      <c r="M34">
        <f t="shared" si="0"/>
        <v>18.829166666666666</v>
      </c>
      <c r="P34">
        <f t="shared" si="3"/>
        <v>6660</v>
      </c>
      <c r="Q34" s="39">
        <f t="shared" si="4"/>
        <v>2141</v>
      </c>
      <c r="R34" t="str">
        <f t="shared" si="5"/>
        <v>3</v>
      </c>
    </row>
    <row r="35" spans="1:18" x14ac:dyDescent="0.25">
      <c r="A35" t="s">
        <v>689</v>
      </c>
      <c r="B35" t="s">
        <v>816</v>
      </c>
      <c r="C35">
        <v>7.4</v>
      </c>
      <c r="D35">
        <v>8.81</v>
      </c>
      <c r="E35">
        <v>65.2</v>
      </c>
      <c r="F35" s="39">
        <v>4671</v>
      </c>
      <c r="G35">
        <v>26.5</v>
      </c>
      <c r="H35">
        <v>583.5</v>
      </c>
      <c r="I35">
        <v>20.58</v>
      </c>
      <c r="J35">
        <v>8.9499999999999993</v>
      </c>
      <c r="L35">
        <f t="shared" si="2"/>
        <v>26.539772727272727</v>
      </c>
      <c r="M35">
        <f t="shared" si="0"/>
        <v>38.924999999999997</v>
      </c>
      <c r="P35">
        <f t="shared" si="3"/>
        <v>6660</v>
      </c>
      <c r="Q35" s="39">
        <f t="shared" si="4"/>
        <v>1989</v>
      </c>
      <c r="R35" t="str">
        <f t="shared" si="5"/>
        <v>6</v>
      </c>
    </row>
    <row r="36" spans="1:18" x14ac:dyDescent="0.25">
      <c r="A36" t="s">
        <v>689</v>
      </c>
      <c r="B36" t="s">
        <v>817</v>
      </c>
      <c r="C36">
        <v>7.4</v>
      </c>
      <c r="D36">
        <v>12.02</v>
      </c>
      <c r="E36">
        <v>89</v>
      </c>
      <c r="F36" s="39">
        <v>4015</v>
      </c>
      <c r="G36">
        <v>22.8</v>
      </c>
      <c r="H36">
        <v>660.9</v>
      </c>
      <c r="I36">
        <v>23.31</v>
      </c>
      <c r="J36">
        <v>7.43</v>
      </c>
      <c r="L36">
        <f t="shared" si="2"/>
        <v>22.8125</v>
      </c>
      <c r="M36">
        <f t="shared" si="0"/>
        <v>33.458333333333336</v>
      </c>
      <c r="P36">
        <f t="shared" si="3"/>
        <v>6660</v>
      </c>
      <c r="Q36" s="39">
        <f t="shared" si="4"/>
        <v>2645</v>
      </c>
      <c r="R36" t="str">
        <f t="shared" si="5"/>
        <v>6</v>
      </c>
    </row>
    <row r="37" spans="1:18" x14ac:dyDescent="0.25">
      <c r="A37" t="s">
        <v>689</v>
      </c>
      <c r="B37" t="s">
        <v>818</v>
      </c>
      <c r="C37">
        <v>7.4</v>
      </c>
      <c r="D37">
        <v>10.7</v>
      </c>
      <c r="E37">
        <v>79.2</v>
      </c>
      <c r="F37" s="39">
        <v>4300</v>
      </c>
      <c r="G37">
        <v>32.6</v>
      </c>
      <c r="H37">
        <v>525.4</v>
      </c>
      <c r="I37">
        <v>18.53</v>
      </c>
      <c r="J37">
        <v>6.64</v>
      </c>
      <c r="L37">
        <f t="shared" si="2"/>
        <v>32.575757575757578</v>
      </c>
      <c r="M37">
        <f t="shared" si="0"/>
        <v>47.777777777777779</v>
      </c>
      <c r="P37">
        <f t="shared" si="3"/>
        <v>6660</v>
      </c>
      <c r="Q37" s="39">
        <f t="shared" si="4"/>
        <v>2360</v>
      </c>
      <c r="R37" t="str">
        <f t="shared" si="5"/>
        <v>8</v>
      </c>
    </row>
    <row r="38" spans="1:18" x14ac:dyDescent="0.25">
      <c r="A38" t="s">
        <v>689</v>
      </c>
      <c r="B38" t="s">
        <v>819</v>
      </c>
      <c r="C38">
        <v>7.4</v>
      </c>
      <c r="D38">
        <v>13.46</v>
      </c>
      <c r="E38">
        <v>99.6</v>
      </c>
      <c r="F38" s="39">
        <v>3706</v>
      </c>
      <c r="G38">
        <v>28.1</v>
      </c>
      <c r="H38">
        <v>651.29999999999995</v>
      </c>
      <c r="I38">
        <v>22.97</v>
      </c>
      <c r="J38">
        <v>6.54</v>
      </c>
      <c r="L38">
        <f t="shared" si="2"/>
        <v>28.075757575757574</v>
      </c>
      <c r="M38">
        <f t="shared" si="0"/>
        <v>41.177777777777777</v>
      </c>
      <c r="P38">
        <f t="shared" si="3"/>
        <v>6660</v>
      </c>
      <c r="Q38" s="39">
        <f t="shared" si="4"/>
        <v>2954</v>
      </c>
      <c r="R38" t="str">
        <f t="shared" si="5"/>
        <v>8</v>
      </c>
    </row>
    <row r="39" spans="1:18" x14ac:dyDescent="0.25">
      <c r="A39" t="s">
        <v>689</v>
      </c>
      <c r="B39" t="s">
        <v>826</v>
      </c>
      <c r="C39">
        <v>7.4</v>
      </c>
      <c r="D39">
        <v>14.03</v>
      </c>
      <c r="E39">
        <v>103.8</v>
      </c>
      <c r="F39" s="39">
        <v>3589</v>
      </c>
      <c r="G39">
        <v>34</v>
      </c>
      <c r="H39">
        <v>507.3</v>
      </c>
      <c r="I39">
        <v>17.89</v>
      </c>
      <c r="J39">
        <v>4.8899999999999997</v>
      </c>
      <c r="L39">
        <f t="shared" si="2"/>
        <v>3.3986742424242422</v>
      </c>
      <c r="M39">
        <f t="shared" si="0"/>
        <v>4.9847222222222225</v>
      </c>
      <c r="P39">
        <f t="shared" si="3"/>
        <v>6660</v>
      </c>
      <c r="Q39" s="39">
        <f t="shared" si="4"/>
        <v>3071</v>
      </c>
      <c r="R39" t="str">
        <f t="shared" si="5"/>
        <v>1</v>
      </c>
    </row>
    <row r="40" spans="1:18" x14ac:dyDescent="0.25">
      <c r="A40" t="s">
        <v>689</v>
      </c>
      <c r="B40" t="s">
        <v>823</v>
      </c>
      <c r="C40">
        <v>7.4</v>
      </c>
      <c r="D40">
        <v>11.79</v>
      </c>
      <c r="E40">
        <v>87.3</v>
      </c>
      <c r="F40" s="39">
        <v>4036</v>
      </c>
      <c r="G40">
        <v>18</v>
      </c>
      <c r="H40">
        <v>690.5</v>
      </c>
      <c r="I40">
        <v>24.36</v>
      </c>
      <c r="J40">
        <v>7.91</v>
      </c>
      <c r="L40">
        <f t="shared" si="2"/>
        <v>15.287878787878787</v>
      </c>
      <c r="M40">
        <f t="shared" si="0"/>
        <v>22.422222222222221</v>
      </c>
      <c r="P40">
        <f t="shared" si="3"/>
        <v>6660</v>
      </c>
      <c r="Q40" s="39">
        <f t="shared" si="4"/>
        <v>2624</v>
      </c>
      <c r="R40" t="str">
        <f t="shared" si="5"/>
        <v>4</v>
      </c>
    </row>
    <row r="41" spans="1:18" x14ac:dyDescent="0.25">
      <c r="A41" t="s">
        <v>689</v>
      </c>
      <c r="B41" t="s">
        <v>822</v>
      </c>
      <c r="C41">
        <v>7.4</v>
      </c>
      <c r="D41">
        <v>8.07</v>
      </c>
      <c r="E41">
        <v>59.7</v>
      </c>
      <c r="F41" s="39">
        <v>4813</v>
      </c>
      <c r="G41">
        <v>18.2</v>
      </c>
      <c r="H41">
        <v>570.5</v>
      </c>
      <c r="I41">
        <v>20.12</v>
      </c>
      <c r="J41">
        <v>9.5500000000000007</v>
      </c>
      <c r="L41">
        <f t="shared" si="2"/>
        <v>18.231060606060606</v>
      </c>
      <c r="M41">
        <f t="shared" si="0"/>
        <v>26.738888888888887</v>
      </c>
      <c r="P41">
        <f t="shared" si="3"/>
        <v>6660</v>
      </c>
      <c r="Q41" s="39">
        <f t="shared" si="4"/>
        <v>1847</v>
      </c>
      <c r="R41" t="str">
        <f t="shared" si="5"/>
        <v>4</v>
      </c>
    </row>
    <row r="42" spans="1:18" x14ac:dyDescent="0.25">
      <c r="A42" t="s">
        <v>689</v>
      </c>
      <c r="B42" t="s">
        <v>824</v>
      </c>
      <c r="C42">
        <v>7.4</v>
      </c>
      <c r="D42">
        <v>11.04</v>
      </c>
      <c r="E42">
        <v>81.7</v>
      </c>
      <c r="F42" s="39">
        <v>4219</v>
      </c>
      <c r="G42">
        <v>26</v>
      </c>
      <c r="H42">
        <v>660.8</v>
      </c>
      <c r="I42">
        <v>23.31</v>
      </c>
      <c r="J42">
        <v>8.09</v>
      </c>
      <c r="L42">
        <f t="shared" si="2"/>
        <v>23.97159090909091</v>
      </c>
      <c r="M42">
        <f t="shared" si="0"/>
        <v>35.158333333333331</v>
      </c>
      <c r="P42">
        <f t="shared" si="3"/>
        <v>6660</v>
      </c>
      <c r="Q42" s="39">
        <f t="shared" si="4"/>
        <v>2441</v>
      </c>
      <c r="R42" t="str">
        <f t="shared" si="5"/>
        <v>6</v>
      </c>
    </row>
    <row r="43" spans="1:18" x14ac:dyDescent="0.25">
      <c r="A43" t="s">
        <v>689</v>
      </c>
      <c r="B43" t="s">
        <v>825</v>
      </c>
      <c r="C43">
        <v>7.4</v>
      </c>
      <c r="D43">
        <v>11.82</v>
      </c>
      <c r="E43">
        <v>87.5</v>
      </c>
      <c r="F43" s="39">
        <v>4057</v>
      </c>
      <c r="G43">
        <v>30.7</v>
      </c>
      <c r="H43">
        <v>662</v>
      </c>
      <c r="I43">
        <v>23.35</v>
      </c>
      <c r="J43">
        <v>7.57</v>
      </c>
      <c r="L43">
        <f t="shared" si="2"/>
        <v>30.734848484848484</v>
      </c>
      <c r="M43">
        <f t="shared" si="0"/>
        <v>45.077777777777776</v>
      </c>
      <c r="P43">
        <f t="shared" si="3"/>
        <v>6660</v>
      </c>
      <c r="Q43" s="39">
        <f t="shared" si="4"/>
        <v>2603</v>
      </c>
      <c r="R43" t="str">
        <f t="shared" si="5"/>
        <v>8</v>
      </c>
    </row>
    <row r="44" spans="1:18" x14ac:dyDescent="0.25">
      <c r="A44" t="s">
        <v>689</v>
      </c>
      <c r="B44" t="s">
        <v>829</v>
      </c>
      <c r="C44">
        <v>7.4</v>
      </c>
      <c r="D44">
        <v>13.62</v>
      </c>
      <c r="E44">
        <v>100.8</v>
      </c>
      <c r="F44" s="39">
        <v>3694</v>
      </c>
      <c r="G44">
        <v>35</v>
      </c>
      <c r="H44">
        <v>705.6</v>
      </c>
      <c r="I44">
        <v>24.89</v>
      </c>
      <c r="J44">
        <v>7</v>
      </c>
      <c r="L44">
        <f t="shared" si="2"/>
        <v>3.4981060606060606</v>
      </c>
      <c r="M44">
        <f t="shared" si="0"/>
        <v>5.1305555555555555</v>
      </c>
      <c r="P44">
        <f t="shared" si="3"/>
        <v>6660</v>
      </c>
      <c r="Q44" s="39">
        <f t="shared" si="4"/>
        <v>2966</v>
      </c>
      <c r="R44" t="str">
        <f t="shared" si="5"/>
        <v>1</v>
      </c>
    </row>
    <row r="45" spans="1:18" x14ac:dyDescent="0.25">
      <c r="A45" t="s">
        <v>689</v>
      </c>
      <c r="B45" t="s">
        <v>830</v>
      </c>
      <c r="C45">
        <v>7.4</v>
      </c>
      <c r="D45">
        <v>16.55</v>
      </c>
      <c r="E45">
        <v>122.4</v>
      </c>
      <c r="F45" s="39">
        <v>3016</v>
      </c>
      <c r="G45">
        <v>34.299999999999997</v>
      </c>
      <c r="H45">
        <v>454.2</v>
      </c>
      <c r="I45">
        <v>16.02</v>
      </c>
      <c r="J45">
        <v>3.71</v>
      </c>
      <c r="L45">
        <f t="shared" si="2"/>
        <v>2.856060606060606</v>
      </c>
      <c r="M45">
        <f t="shared" si="0"/>
        <v>4.1888888888888891</v>
      </c>
      <c r="P45">
        <f t="shared" si="3"/>
        <v>6660</v>
      </c>
      <c r="Q45" s="39">
        <f t="shared" si="4"/>
        <v>3644</v>
      </c>
      <c r="R45" t="str">
        <f t="shared" si="5"/>
        <v>1</v>
      </c>
    </row>
    <row r="46" spans="1:18" x14ac:dyDescent="0.25">
      <c r="A46" t="s">
        <v>689</v>
      </c>
      <c r="B46" t="s">
        <v>827</v>
      </c>
      <c r="C46">
        <v>7.4</v>
      </c>
      <c r="D46">
        <v>12.41</v>
      </c>
      <c r="E46">
        <v>91.8</v>
      </c>
      <c r="F46" s="39">
        <v>3911</v>
      </c>
      <c r="G46">
        <v>25.9</v>
      </c>
      <c r="H46">
        <v>720.3</v>
      </c>
      <c r="I46">
        <v>25.41</v>
      </c>
      <c r="J46">
        <v>7.84</v>
      </c>
      <c r="L46">
        <f t="shared" si="2"/>
        <v>25.925189393939394</v>
      </c>
      <c r="M46">
        <f t="shared" si="0"/>
        <v>38.023611111111109</v>
      </c>
      <c r="P46">
        <f t="shared" si="3"/>
        <v>6660</v>
      </c>
      <c r="Q46" s="39">
        <f t="shared" si="4"/>
        <v>2749</v>
      </c>
      <c r="R46" t="str">
        <f t="shared" si="5"/>
        <v>7</v>
      </c>
    </row>
    <row r="47" spans="1:18" x14ac:dyDescent="0.25">
      <c r="A47" t="s">
        <v>689</v>
      </c>
      <c r="B47" t="s">
        <v>828</v>
      </c>
      <c r="C47">
        <v>7.4</v>
      </c>
      <c r="D47">
        <v>13.44</v>
      </c>
      <c r="E47">
        <v>99.5</v>
      </c>
      <c r="F47" s="39">
        <v>3689</v>
      </c>
      <c r="G47">
        <v>27.9</v>
      </c>
      <c r="H47">
        <v>709.2</v>
      </c>
      <c r="I47">
        <v>25.02</v>
      </c>
      <c r="J47">
        <v>7.13</v>
      </c>
      <c r="L47">
        <f t="shared" si="2"/>
        <v>27.946969696969695</v>
      </c>
      <c r="M47">
        <f t="shared" si="0"/>
        <v>40.988888888888887</v>
      </c>
      <c r="P47">
        <f t="shared" si="3"/>
        <v>6660</v>
      </c>
      <c r="Q47" s="39">
        <f t="shared" si="4"/>
        <v>2971</v>
      </c>
      <c r="R47" t="str">
        <f t="shared" si="5"/>
        <v>8</v>
      </c>
    </row>
    <row r="48" spans="1:18" x14ac:dyDescent="0.25">
      <c r="A48" t="s">
        <v>689</v>
      </c>
      <c r="B48" t="s">
        <v>834</v>
      </c>
      <c r="C48">
        <v>7.4</v>
      </c>
      <c r="D48">
        <v>15.52</v>
      </c>
      <c r="E48">
        <v>114.8</v>
      </c>
      <c r="F48" s="39">
        <v>3157</v>
      </c>
      <c r="G48">
        <v>29.9</v>
      </c>
      <c r="H48">
        <v>696.6</v>
      </c>
      <c r="I48">
        <v>24.57</v>
      </c>
      <c r="J48">
        <v>6.07</v>
      </c>
      <c r="L48">
        <f t="shared" si="2"/>
        <v>2.9895833333333335</v>
      </c>
      <c r="M48">
        <f t="shared" si="0"/>
        <v>4.384722222222222</v>
      </c>
      <c r="P48">
        <f t="shared" si="3"/>
        <v>6660</v>
      </c>
      <c r="Q48" s="39">
        <f t="shared" si="4"/>
        <v>3503</v>
      </c>
      <c r="R48" t="str">
        <f t="shared" si="5"/>
        <v>1</v>
      </c>
    </row>
    <row r="49" spans="1:18" x14ac:dyDescent="0.25">
      <c r="A49" t="s">
        <v>689</v>
      </c>
      <c r="B49" t="s">
        <v>831</v>
      </c>
      <c r="C49">
        <v>7.4</v>
      </c>
      <c r="D49">
        <v>10.89</v>
      </c>
      <c r="E49">
        <v>80.599999999999994</v>
      </c>
      <c r="F49" s="39">
        <v>4208</v>
      </c>
      <c r="G49">
        <v>15.9</v>
      </c>
      <c r="H49">
        <v>714.7</v>
      </c>
      <c r="I49">
        <v>25.21</v>
      </c>
      <c r="J49">
        <v>8.8699999999999992</v>
      </c>
      <c r="L49">
        <f t="shared" si="2"/>
        <v>15.939393939393939</v>
      </c>
      <c r="M49">
        <f t="shared" si="0"/>
        <v>23.377777777777776</v>
      </c>
      <c r="P49">
        <f t="shared" si="3"/>
        <v>6660</v>
      </c>
      <c r="Q49" s="39">
        <f t="shared" si="4"/>
        <v>2452</v>
      </c>
      <c r="R49" t="str">
        <f t="shared" si="5"/>
        <v>4</v>
      </c>
    </row>
    <row r="50" spans="1:18" x14ac:dyDescent="0.25">
      <c r="A50" t="s">
        <v>689</v>
      </c>
      <c r="B50" t="s">
        <v>832</v>
      </c>
      <c r="C50">
        <v>7.4</v>
      </c>
      <c r="D50">
        <v>12.93</v>
      </c>
      <c r="E50">
        <v>95.7</v>
      </c>
      <c r="F50" s="39">
        <v>3817</v>
      </c>
      <c r="G50">
        <v>21.7</v>
      </c>
      <c r="H50">
        <v>791.5</v>
      </c>
      <c r="I50">
        <v>27.92</v>
      </c>
      <c r="J50">
        <v>8.27</v>
      </c>
      <c r="L50">
        <f t="shared" si="2"/>
        <v>21.6875</v>
      </c>
      <c r="M50">
        <f t="shared" si="0"/>
        <v>31.808333333333334</v>
      </c>
      <c r="P50">
        <f t="shared" si="3"/>
        <v>6660</v>
      </c>
      <c r="Q50" s="39">
        <f t="shared" si="4"/>
        <v>2843</v>
      </c>
      <c r="R50" t="str">
        <f t="shared" si="5"/>
        <v>6</v>
      </c>
    </row>
    <row r="51" spans="1:18" x14ac:dyDescent="0.25">
      <c r="A51" t="s">
        <v>689</v>
      </c>
      <c r="B51" t="s">
        <v>833</v>
      </c>
      <c r="C51">
        <v>7.4</v>
      </c>
      <c r="D51">
        <v>13.84</v>
      </c>
      <c r="E51">
        <v>102.4</v>
      </c>
      <c r="F51" s="39">
        <v>3588</v>
      </c>
      <c r="G51">
        <v>27.2</v>
      </c>
      <c r="H51">
        <v>757.8</v>
      </c>
      <c r="I51">
        <v>26.73</v>
      </c>
      <c r="J51">
        <v>7.4</v>
      </c>
      <c r="L51">
        <f t="shared" si="2"/>
        <v>27.181818181818183</v>
      </c>
      <c r="M51">
        <f t="shared" si="0"/>
        <v>39.866666666666667</v>
      </c>
      <c r="P51">
        <f t="shared" si="3"/>
        <v>6660</v>
      </c>
      <c r="Q51" s="39">
        <f t="shared" si="4"/>
        <v>3072</v>
      </c>
      <c r="R51" t="str">
        <f t="shared" si="5"/>
        <v>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C2"/>
  <sheetViews>
    <sheetView workbookViewId="0">
      <selection activeCell="D17" sqref="D17"/>
    </sheetView>
  </sheetViews>
  <sheetFormatPr defaultRowHeight="15" x14ac:dyDescent="0.25"/>
  <sheetData>
    <row r="1" spans="1:3" x14ac:dyDescent="0.25">
      <c r="A1" t="s">
        <v>1801</v>
      </c>
      <c r="C1" t="s">
        <v>1802</v>
      </c>
    </row>
    <row r="2" spans="1:3" x14ac:dyDescent="0.25">
      <c r="A2">
        <v>0.53700000000000003</v>
      </c>
      <c r="C2">
        <f>A2*1.2</f>
        <v>0.64439999999999997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6"/>
  <sheetViews>
    <sheetView tabSelected="1" workbookViewId="0">
      <selection activeCell="B3" sqref="B3"/>
    </sheetView>
  </sheetViews>
  <sheetFormatPr defaultRowHeight="15" x14ac:dyDescent="0.25"/>
  <cols>
    <col min="1" max="1" width="30" style="341" bestFit="1" customWidth="1"/>
    <col min="2" max="2" width="15.42578125" style="341" customWidth="1"/>
    <col min="3" max="256" width="9.140625" style="341"/>
    <col min="257" max="257" width="30" style="341" bestFit="1" customWidth="1"/>
    <col min="258" max="512" width="9.140625" style="341"/>
    <col min="513" max="513" width="30" style="341" bestFit="1" customWidth="1"/>
    <col min="514" max="768" width="9.140625" style="341"/>
    <col min="769" max="769" width="30" style="341" bestFit="1" customWidth="1"/>
    <col min="770" max="1024" width="9.140625" style="341"/>
    <col min="1025" max="1025" width="30" style="341" bestFit="1" customWidth="1"/>
    <col min="1026" max="1280" width="9.140625" style="341"/>
    <col min="1281" max="1281" width="30" style="341" bestFit="1" customWidth="1"/>
    <col min="1282" max="1536" width="9.140625" style="341"/>
    <col min="1537" max="1537" width="30" style="341" bestFit="1" customWidth="1"/>
    <col min="1538" max="1792" width="9.140625" style="341"/>
    <col min="1793" max="1793" width="30" style="341" bestFit="1" customWidth="1"/>
    <col min="1794" max="2048" width="9.140625" style="341"/>
    <col min="2049" max="2049" width="30" style="341" bestFit="1" customWidth="1"/>
    <col min="2050" max="2304" width="9.140625" style="341"/>
    <col min="2305" max="2305" width="30" style="341" bestFit="1" customWidth="1"/>
    <col min="2306" max="2560" width="9.140625" style="341"/>
    <col min="2561" max="2561" width="30" style="341" bestFit="1" customWidth="1"/>
    <col min="2562" max="2816" width="9.140625" style="341"/>
    <col min="2817" max="2817" width="30" style="341" bestFit="1" customWidth="1"/>
    <col min="2818" max="3072" width="9.140625" style="341"/>
    <col min="3073" max="3073" width="30" style="341" bestFit="1" customWidth="1"/>
    <col min="3074" max="3328" width="9.140625" style="341"/>
    <col min="3329" max="3329" width="30" style="341" bestFit="1" customWidth="1"/>
    <col min="3330" max="3584" width="9.140625" style="341"/>
    <col min="3585" max="3585" width="30" style="341" bestFit="1" customWidth="1"/>
    <col min="3586" max="3840" width="9.140625" style="341"/>
    <col min="3841" max="3841" width="30" style="341" bestFit="1" customWidth="1"/>
    <col min="3842" max="4096" width="9.140625" style="341"/>
    <col min="4097" max="4097" width="30" style="341" bestFit="1" customWidth="1"/>
    <col min="4098" max="4352" width="9.140625" style="341"/>
    <col min="4353" max="4353" width="30" style="341" bestFit="1" customWidth="1"/>
    <col min="4354" max="4608" width="9.140625" style="341"/>
    <col min="4609" max="4609" width="30" style="341" bestFit="1" customWidth="1"/>
    <col min="4610" max="4864" width="9.140625" style="341"/>
    <col min="4865" max="4865" width="30" style="341" bestFit="1" customWidth="1"/>
    <col min="4866" max="5120" width="9.140625" style="341"/>
    <col min="5121" max="5121" width="30" style="341" bestFit="1" customWidth="1"/>
    <col min="5122" max="5376" width="9.140625" style="341"/>
    <col min="5377" max="5377" width="30" style="341" bestFit="1" customWidth="1"/>
    <col min="5378" max="5632" width="9.140625" style="341"/>
    <col min="5633" max="5633" width="30" style="341" bestFit="1" customWidth="1"/>
    <col min="5634" max="5888" width="9.140625" style="341"/>
    <col min="5889" max="5889" width="30" style="341" bestFit="1" customWidth="1"/>
    <col min="5890" max="6144" width="9.140625" style="341"/>
    <col min="6145" max="6145" width="30" style="341" bestFit="1" customWidth="1"/>
    <col min="6146" max="6400" width="9.140625" style="341"/>
    <col min="6401" max="6401" width="30" style="341" bestFit="1" customWidth="1"/>
    <col min="6402" max="6656" width="9.140625" style="341"/>
    <col min="6657" max="6657" width="30" style="341" bestFit="1" customWidth="1"/>
    <col min="6658" max="6912" width="9.140625" style="341"/>
    <col min="6913" max="6913" width="30" style="341" bestFit="1" customWidth="1"/>
    <col min="6914" max="7168" width="9.140625" style="341"/>
    <col min="7169" max="7169" width="30" style="341" bestFit="1" customWidth="1"/>
    <col min="7170" max="7424" width="9.140625" style="341"/>
    <col min="7425" max="7425" width="30" style="341" bestFit="1" customWidth="1"/>
    <col min="7426" max="7680" width="9.140625" style="341"/>
    <col min="7681" max="7681" width="30" style="341" bestFit="1" customWidth="1"/>
    <col min="7682" max="7936" width="9.140625" style="341"/>
    <col min="7937" max="7937" width="30" style="341" bestFit="1" customWidth="1"/>
    <col min="7938" max="8192" width="9.140625" style="341"/>
    <col min="8193" max="8193" width="30" style="341" bestFit="1" customWidth="1"/>
    <col min="8194" max="8448" width="9.140625" style="341"/>
    <col min="8449" max="8449" width="30" style="341" bestFit="1" customWidth="1"/>
    <col min="8450" max="8704" width="9.140625" style="341"/>
    <col min="8705" max="8705" width="30" style="341" bestFit="1" customWidth="1"/>
    <col min="8706" max="8960" width="9.140625" style="341"/>
    <col min="8961" max="8961" width="30" style="341" bestFit="1" customWidth="1"/>
    <col min="8962" max="9216" width="9.140625" style="341"/>
    <col min="9217" max="9217" width="30" style="341" bestFit="1" customWidth="1"/>
    <col min="9218" max="9472" width="9.140625" style="341"/>
    <col min="9473" max="9473" width="30" style="341" bestFit="1" customWidth="1"/>
    <col min="9474" max="9728" width="9.140625" style="341"/>
    <col min="9729" max="9729" width="30" style="341" bestFit="1" customWidth="1"/>
    <col min="9730" max="9984" width="9.140625" style="341"/>
    <col min="9985" max="9985" width="30" style="341" bestFit="1" customWidth="1"/>
    <col min="9986" max="10240" width="9.140625" style="341"/>
    <col min="10241" max="10241" width="30" style="341" bestFit="1" customWidth="1"/>
    <col min="10242" max="10496" width="9.140625" style="341"/>
    <col min="10497" max="10497" width="30" style="341" bestFit="1" customWidth="1"/>
    <col min="10498" max="10752" width="9.140625" style="341"/>
    <col min="10753" max="10753" width="30" style="341" bestFit="1" customWidth="1"/>
    <col min="10754" max="11008" width="9.140625" style="341"/>
    <col min="11009" max="11009" width="30" style="341" bestFit="1" customWidth="1"/>
    <col min="11010" max="11264" width="9.140625" style="341"/>
    <col min="11265" max="11265" width="30" style="341" bestFit="1" customWidth="1"/>
    <col min="11266" max="11520" width="9.140625" style="341"/>
    <col min="11521" max="11521" width="30" style="341" bestFit="1" customWidth="1"/>
    <col min="11522" max="11776" width="9.140625" style="341"/>
    <col min="11777" max="11777" width="30" style="341" bestFit="1" customWidth="1"/>
    <col min="11778" max="12032" width="9.140625" style="341"/>
    <col min="12033" max="12033" width="30" style="341" bestFit="1" customWidth="1"/>
    <col min="12034" max="12288" width="9.140625" style="341"/>
    <col min="12289" max="12289" width="30" style="341" bestFit="1" customWidth="1"/>
    <col min="12290" max="12544" width="9.140625" style="341"/>
    <col min="12545" max="12545" width="30" style="341" bestFit="1" customWidth="1"/>
    <col min="12546" max="12800" width="9.140625" style="341"/>
    <col min="12801" max="12801" width="30" style="341" bestFit="1" customWidth="1"/>
    <col min="12802" max="13056" width="9.140625" style="341"/>
    <col min="13057" max="13057" width="30" style="341" bestFit="1" customWidth="1"/>
    <col min="13058" max="13312" width="9.140625" style="341"/>
    <col min="13313" max="13313" width="30" style="341" bestFit="1" customWidth="1"/>
    <col min="13314" max="13568" width="9.140625" style="341"/>
    <col min="13569" max="13569" width="30" style="341" bestFit="1" customWidth="1"/>
    <col min="13570" max="13824" width="9.140625" style="341"/>
    <col min="13825" max="13825" width="30" style="341" bestFit="1" customWidth="1"/>
    <col min="13826" max="14080" width="9.140625" style="341"/>
    <col min="14081" max="14081" width="30" style="341" bestFit="1" customWidth="1"/>
    <col min="14082" max="14336" width="9.140625" style="341"/>
    <col min="14337" max="14337" width="30" style="341" bestFit="1" customWidth="1"/>
    <col min="14338" max="14592" width="9.140625" style="341"/>
    <col min="14593" max="14593" width="30" style="341" bestFit="1" customWidth="1"/>
    <col min="14594" max="14848" width="9.140625" style="341"/>
    <col min="14849" max="14849" width="30" style="341" bestFit="1" customWidth="1"/>
    <col min="14850" max="15104" width="9.140625" style="341"/>
    <col min="15105" max="15105" width="30" style="341" bestFit="1" customWidth="1"/>
    <col min="15106" max="15360" width="9.140625" style="341"/>
    <col min="15361" max="15361" width="30" style="341" bestFit="1" customWidth="1"/>
    <col min="15362" max="15616" width="9.140625" style="341"/>
    <col min="15617" max="15617" width="30" style="341" bestFit="1" customWidth="1"/>
    <col min="15618" max="15872" width="9.140625" style="341"/>
    <col min="15873" max="15873" width="30" style="341" bestFit="1" customWidth="1"/>
    <col min="15874" max="16128" width="9.140625" style="341"/>
    <col min="16129" max="16129" width="30" style="341" bestFit="1" customWidth="1"/>
    <col min="16130" max="16384" width="9.140625" style="341"/>
  </cols>
  <sheetData>
    <row r="1" spans="1:2" x14ac:dyDescent="0.25">
      <c r="A1" s="341" t="s">
        <v>1841</v>
      </c>
    </row>
    <row r="2" spans="1:2" x14ac:dyDescent="0.25">
      <c r="A2" s="341" t="s">
        <v>2132</v>
      </c>
      <c r="B2" s="341">
        <v>0.15240000000000001</v>
      </c>
    </row>
    <row r="3" spans="1:2" x14ac:dyDescent="0.25">
      <c r="A3" s="342" t="s">
        <v>2264</v>
      </c>
      <c r="B3" s="342">
        <v>0.12</v>
      </c>
    </row>
    <row r="4" spans="1:2" x14ac:dyDescent="0.25">
      <c r="A4" s="341" t="s">
        <v>2133</v>
      </c>
      <c r="B4" s="341">
        <v>0.223389068442015</v>
      </c>
    </row>
    <row r="5" spans="1:2" x14ac:dyDescent="0.25">
      <c r="A5" s="341" t="s">
        <v>2134</v>
      </c>
      <c r="B5" s="341">
        <v>0.72</v>
      </c>
    </row>
    <row r="6" spans="1:2" x14ac:dyDescent="0.25">
      <c r="A6" s="341" t="s">
        <v>2135</v>
      </c>
      <c r="B6" s="341">
        <v>0.55579956885405424</v>
      </c>
    </row>
    <row r="7" spans="1:2" x14ac:dyDescent="0.25">
      <c r="A7" s="341" t="s">
        <v>2136</v>
      </c>
      <c r="B7" s="341">
        <v>1.4991886372960692</v>
      </c>
    </row>
    <row r="8" spans="1:2" x14ac:dyDescent="0.25">
      <c r="A8" s="341" t="s">
        <v>2137</v>
      </c>
      <c r="B8" s="341">
        <v>15</v>
      </c>
    </row>
    <row r="11" spans="1:2" x14ac:dyDescent="0.25">
      <c r="A11" s="341" t="s">
        <v>1842</v>
      </c>
    </row>
    <row r="12" spans="1:2" x14ac:dyDescent="0.25">
      <c r="A12" s="341" t="s">
        <v>2138</v>
      </c>
      <c r="B12" s="341">
        <v>0.43409086391783164</v>
      </c>
    </row>
    <row r="13" spans="1:2" x14ac:dyDescent="0.25">
      <c r="A13" s="341" t="s">
        <v>2139</v>
      </c>
      <c r="B13" s="341">
        <v>0.50198239169560943</v>
      </c>
    </row>
    <row r="14" spans="1:2" x14ac:dyDescent="0.25">
      <c r="A14" s="341" t="s">
        <v>2140</v>
      </c>
      <c r="B14" s="341">
        <v>0.27156611111111101</v>
      </c>
    </row>
    <row r="15" spans="1:2" x14ac:dyDescent="0.25">
      <c r="A15" s="341" t="s">
        <v>2141</v>
      </c>
      <c r="B15" s="341">
        <v>1.9009627777777778</v>
      </c>
    </row>
    <row r="16" spans="1:2" x14ac:dyDescent="0.25">
      <c r="A16" s="341" t="s">
        <v>2265</v>
      </c>
      <c r="B16" s="341" t="s">
        <v>1835</v>
      </c>
    </row>
    <row r="17" spans="1:2" x14ac:dyDescent="0.25">
      <c r="A17" s="341" t="s">
        <v>2142</v>
      </c>
      <c r="B17" s="341">
        <v>0.56917017319777063</v>
      </c>
    </row>
    <row r="18" spans="1:2" x14ac:dyDescent="0.25">
      <c r="A18" s="341" t="s">
        <v>2143</v>
      </c>
      <c r="B18" s="341">
        <v>0.90295731944444424</v>
      </c>
    </row>
    <row r="19" spans="1:2" x14ac:dyDescent="0.25">
      <c r="A19" s="341" t="s">
        <v>2144</v>
      </c>
      <c r="B19" s="341">
        <v>0.25</v>
      </c>
    </row>
    <row r="20" spans="1:2" x14ac:dyDescent="0.25">
      <c r="A20" s="341" t="s">
        <v>2145</v>
      </c>
      <c r="B20" s="341">
        <v>25</v>
      </c>
    </row>
    <row r="21" spans="1:2" x14ac:dyDescent="0.25">
      <c r="A21" s="341" t="s">
        <v>2146</v>
      </c>
      <c r="B21" s="341">
        <v>-25</v>
      </c>
    </row>
    <row r="24" spans="1:2" x14ac:dyDescent="0.25">
      <c r="A24" s="341" t="s">
        <v>1843</v>
      </c>
    </row>
    <row r="25" spans="1:2" x14ac:dyDescent="0.25">
      <c r="A25" s="341" t="s">
        <v>2138</v>
      </c>
      <c r="B25" s="341">
        <v>1.2128210156327217</v>
      </c>
    </row>
    <row r="26" spans="1:2" x14ac:dyDescent="0.25">
      <c r="A26" s="341" t="s">
        <v>2139</v>
      </c>
      <c r="B26" s="341">
        <v>1.248702621421125</v>
      </c>
    </row>
    <row r="27" spans="1:2" x14ac:dyDescent="0.25">
      <c r="A27" s="341" t="s">
        <v>2147</v>
      </c>
      <c r="B27" s="341">
        <v>2.3800000000000002E-2</v>
      </c>
    </row>
    <row r="28" spans="1:2" x14ac:dyDescent="0.25">
      <c r="A28" s="341" t="s">
        <v>2140</v>
      </c>
      <c r="B28" s="341">
        <v>0.14352642315361319</v>
      </c>
    </row>
    <row r="29" spans="1:2" x14ac:dyDescent="0.25">
      <c r="A29" s="341" t="s">
        <v>2141</v>
      </c>
      <c r="B29" s="341">
        <v>0.66978997471686152</v>
      </c>
    </row>
    <row r="30" spans="1:2" x14ac:dyDescent="0.25">
      <c r="A30" s="341" t="s">
        <v>2265</v>
      </c>
      <c r="B30" s="341" t="s">
        <v>2266</v>
      </c>
    </row>
    <row r="31" spans="1:2" x14ac:dyDescent="0.25">
      <c r="A31" s="341" t="s">
        <v>2148</v>
      </c>
      <c r="B31" s="341">
        <v>-0.58393031865523626</v>
      </c>
    </row>
    <row r="32" spans="1:2" x14ac:dyDescent="0.25">
      <c r="A32" s="341" t="s">
        <v>2149</v>
      </c>
      <c r="B32" s="341">
        <v>0</v>
      </c>
    </row>
    <row r="33" spans="1:2" x14ac:dyDescent="0.25">
      <c r="A33" s="341" t="s">
        <v>2150</v>
      </c>
      <c r="B33" s="341">
        <v>1</v>
      </c>
    </row>
    <row r="34" spans="1:2" x14ac:dyDescent="0.25">
      <c r="A34" s="341" t="s">
        <v>2151</v>
      </c>
      <c r="B34" s="341">
        <v>0.20776646122007825</v>
      </c>
    </row>
    <row r="35" spans="1:2" x14ac:dyDescent="0.25">
      <c r="A35" s="341" t="s">
        <v>2152</v>
      </c>
      <c r="B35" s="341">
        <v>-25</v>
      </c>
    </row>
    <row r="36" spans="1:2" x14ac:dyDescent="0.25">
      <c r="A36" s="341" t="s">
        <v>2153</v>
      </c>
      <c r="B36" s="341">
        <v>2</v>
      </c>
    </row>
    <row r="39" spans="1:2" x14ac:dyDescent="0.25">
      <c r="A39" s="341" t="s">
        <v>1844</v>
      </c>
    </row>
    <row r="40" spans="1:2" x14ac:dyDescent="0.25">
      <c r="A40" s="341" t="s">
        <v>2138</v>
      </c>
      <c r="B40" s="341">
        <v>1.2112602235682557</v>
      </c>
    </row>
    <row r="41" spans="1:2" x14ac:dyDescent="0.25">
      <c r="A41" s="341" t="s">
        <v>2139</v>
      </c>
      <c r="B41" s="341">
        <v>1.248702621421125</v>
      </c>
    </row>
    <row r="42" spans="1:2" x14ac:dyDescent="0.25">
      <c r="A42" s="341" t="s">
        <v>2147</v>
      </c>
      <c r="B42" s="341">
        <v>2.3800000000000002E-2</v>
      </c>
    </row>
    <row r="43" spans="1:2" x14ac:dyDescent="0.25">
      <c r="A43" s="341" t="s">
        <v>2140</v>
      </c>
      <c r="B43" s="341">
        <v>0.14976959141147678</v>
      </c>
    </row>
    <row r="44" spans="1:2" x14ac:dyDescent="0.25">
      <c r="A44" s="341" t="s">
        <v>2267</v>
      </c>
      <c r="B44" s="341">
        <v>0.11981567312918143</v>
      </c>
    </row>
    <row r="45" spans="1:2" x14ac:dyDescent="0.25">
      <c r="A45" s="341" t="s">
        <v>2141</v>
      </c>
      <c r="B45" s="341">
        <v>0.22465438711721517</v>
      </c>
    </row>
    <row r="46" spans="1:2" x14ac:dyDescent="0.25">
      <c r="A46" s="341" t="s">
        <v>2265</v>
      </c>
      <c r="B46" s="341" t="s">
        <v>2266</v>
      </c>
    </row>
    <row r="47" spans="1:2" x14ac:dyDescent="0.25">
      <c r="A47" s="341" t="s">
        <v>2154</v>
      </c>
      <c r="B47" s="341">
        <v>0</v>
      </c>
    </row>
    <row r="48" spans="1:2" x14ac:dyDescent="0.25">
      <c r="A48" s="341" t="s">
        <v>2155</v>
      </c>
      <c r="B48" s="341">
        <v>1</v>
      </c>
    </row>
    <row r="49" spans="1:2" x14ac:dyDescent="0.25">
      <c r="A49" s="341" t="s">
        <v>2156</v>
      </c>
      <c r="B49" s="341">
        <v>0.25</v>
      </c>
    </row>
    <row r="50" spans="1:2" x14ac:dyDescent="0.25">
      <c r="A50" s="341" t="s">
        <v>2157</v>
      </c>
      <c r="B50" s="341">
        <v>20</v>
      </c>
    </row>
    <row r="51" spans="1:2" x14ac:dyDescent="0.25">
      <c r="A51" s="341" t="s">
        <v>2158</v>
      </c>
      <c r="B51" s="341">
        <v>-20</v>
      </c>
    </row>
    <row r="54" spans="1:2" x14ac:dyDescent="0.25">
      <c r="A54" s="341" t="s">
        <v>2000</v>
      </c>
    </row>
    <row r="55" spans="1:2" x14ac:dyDescent="0.25">
      <c r="A55" s="341" t="s">
        <v>2159</v>
      </c>
      <c r="B55" s="341">
        <v>1.3301426817374491</v>
      </c>
    </row>
    <row r="56" spans="1:2" x14ac:dyDescent="0.25">
      <c r="A56" s="341" t="s">
        <v>2160</v>
      </c>
      <c r="B56" s="341">
        <v>9.619807608751553E-2</v>
      </c>
    </row>
    <row r="57" spans="1:2" x14ac:dyDescent="0.25">
      <c r="A57" s="341" t="s">
        <v>2161</v>
      </c>
      <c r="B57" s="341">
        <v>0.63589724483929977</v>
      </c>
    </row>
    <row r="58" spans="1:2" x14ac:dyDescent="0.25">
      <c r="A58" s="341" t="s">
        <v>2162</v>
      </c>
      <c r="B58" s="341">
        <v>2.0622380026642646</v>
      </c>
    </row>
    <row r="61" spans="1:2" x14ac:dyDescent="0.25">
      <c r="A61" s="341" t="s">
        <v>2268</v>
      </c>
    </row>
    <row r="62" spans="1:2" x14ac:dyDescent="0.25">
      <c r="A62" s="341" t="s">
        <v>2269</v>
      </c>
      <c r="B62" s="341">
        <v>2.1571999999999996</v>
      </c>
    </row>
    <row r="63" spans="1:2" x14ac:dyDescent="0.25">
      <c r="A63" s="341" t="s">
        <v>2270</v>
      </c>
      <c r="B63" s="341">
        <v>-0.93568381689628144</v>
      </c>
    </row>
    <row r="64" spans="1:2" x14ac:dyDescent="0.25">
      <c r="A64" s="341" t="s">
        <v>2271</v>
      </c>
      <c r="B64" s="341">
        <v>0.51954023258218385</v>
      </c>
    </row>
    <row r="65" spans="1:2" x14ac:dyDescent="0.25">
      <c r="A65" s="341" t="s">
        <v>2272</v>
      </c>
      <c r="B65" s="341">
        <v>0.57385345480440619</v>
      </c>
    </row>
    <row r="66" spans="1:2" x14ac:dyDescent="0.25">
      <c r="A66" s="341" t="s">
        <v>2273</v>
      </c>
      <c r="B66" s="341">
        <v>5.4313222222222332E-2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AS74"/>
  <sheetViews>
    <sheetView topLeftCell="P1" zoomScale="55" zoomScaleNormal="55" workbookViewId="0">
      <selection activeCell="T60" sqref="T60"/>
    </sheetView>
  </sheetViews>
  <sheetFormatPr defaultRowHeight="15" x14ac:dyDescent="0.25"/>
  <cols>
    <col min="2" max="2" width="9.140625" customWidth="1"/>
    <col min="3" max="3" width="9.85546875" bestFit="1" customWidth="1"/>
    <col min="10" max="10" width="12.85546875" bestFit="1" customWidth="1"/>
    <col min="11" max="11" width="9.140625" style="70"/>
    <col min="12" max="12" width="27.42578125" bestFit="1" customWidth="1"/>
    <col min="13" max="13" width="16.7109375" bestFit="1" customWidth="1"/>
    <col min="26" max="27" width="10.42578125" customWidth="1"/>
    <col min="29" max="29" width="14.85546875" customWidth="1"/>
  </cols>
  <sheetData>
    <row r="1" spans="1:45" x14ac:dyDescent="0.25">
      <c r="A1" s="521" t="s">
        <v>2108</v>
      </c>
      <c r="B1" s="521"/>
      <c r="C1" s="521"/>
      <c r="D1" s="521"/>
      <c r="E1" s="521"/>
      <c r="F1" s="521"/>
      <c r="G1" s="521"/>
      <c r="H1" s="521"/>
      <c r="I1" s="521"/>
      <c r="J1" s="521"/>
      <c r="K1" s="521"/>
      <c r="L1" s="521"/>
      <c r="M1" s="521"/>
      <c r="N1" s="521"/>
      <c r="O1" s="521"/>
      <c r="P1" s="521"/>
      <c r="Q1" s="521"/>
      <c r="AH1" t="s">
        <v>2109</v>
      </c>
    </row>
    <row r="2" spans="1:45" x14ac:dyDescent="0.25">
      <c r="A2" t="s">
        <v>1834</v>
      </c>
      <c r="B2" t="s">
        <v>1835</v>
      </c>
      <c r="C2" s="71">
        <v>-0.14000000000000001</v>
      </c>
      <c r="E2" t="s">
        <v>1836</v>
      </c>
      <c r="J2" t="s">
        <v>1846</v>
      </c>
      <c r="L2" s="70"/>
      <c r="M2" s="70"/>
      <c r="N2" s="70"/>
      <c r="AF2">
        <f>MAX(Table1[y])</f>
        <v>2.9454060411111098</v>
      </c>
      <c r="AI2" t="s">
        <v>1837</v>
      </c>
      <c r="AJ2" t="s">
        <v>1838</v>
      </c>
      <c r="AL2" t="s">
        <v>1837</v>
      </c>
      <c r="AM2" t="s">
        <v>1838</v>
      </c>
    </row>
    <row r="3" spans="1:45" x14ac:dyDescent="0.25">
      <c r="B3" t="s">
        <v>1837</v>
      </c>
      <c r="C3" t="s">
        <v>1838</v>
      </c>
      <c r="E3" t="s">
        <v>1837</v>
      </c>
      <c r="F3" t="s">
        <v>1838</v>
      </c>
      <c r="H3" s="68" t="s">
        <v>1839</v>
      </c>
      <c r="L3" s="70" t="str">
        <f>'External layout'!A1</f>
        <v>FUSELAGE</v>
      </c>
      <c r="M3" s="70">
        <f>'External layout'!B1</f>
        <v>0</v>
      </c>
      <c r="N3" s="70">
        <f>'External layout'!C1</f>
        <v>0</v>
      </c>
      <c r="AI3" s="136">
        <f>Wing!D116</f>
        <v>0</v>
      </c>
      <c r="AJ3" s="136">
        <f>Wing!E116</f>
        <v>0</v>
      </c>
      <c r="AL3" s="136">
        <f>Wing!M116</f>
        <v>0</v>
      </c>
      <c r="AM3" s="136">
        <f>Wing!N116</f>
        <v>0</v>
      </c>
    </row>
    <row r="4" spans="1:45" x14ac:dyDescent="0.25">
      <c r="A4">
        <f>M16*100</f>
        <v>27.156611111111101</v>
      </c>
      <c r="B4">
        <v>1</v>
      </c>
      <c r="C4">
        <v>0</v>
      </c>
      <c r="E4" s="68">
        <f>$A$4*B4</f>
        <v>27.156611111111101</v>
      </c>
      <c r="F4" s="68">
        <f>$A$4*C4</f>
        <v>0</v>
      </c>
      <c r="H4" s="69" t="s">
        <v>1840</v>
      </c>
      <c r="I4">
        <f>F4-F37</f>
        <v>8.8802118333333291E-2</v>
      </c>
      <c r="L4" s="70" t="str">
        <f>'External layout'!A2</f>
        <v xml:space="preserve">Height: </v>
      </c>
      <c r="M4" s="70">
        <f>'External layout'!B2</f>
        <v>0.15240000000000001</v>
      </c>
      <c r="N4" s="70">
        <f>'External layout'!C2</f>
        <v>0</v>
      </c>
      <c r="AI4" s="136">
        <f>Wing!D117</f>
        <v>1.1012326552930881E-2</v>
      </c>
      <c r="AJ4" s="136">
        <f>Wing!E117</f>
        <v>7.6017127952755878E-2</v>
      </c>
      <c r="AL4" s="136">
        <f>Wing!M117</f>
        <v>1.1012326552930881E-2</v>
      </c>
      <c r="AM4" s="136">
        <f>Wing!N117</f>
        <v>-2.88911626035716E-2</v>
      </c>
    </row>
    <row r="5" spans="1:45" x14ac:dyDescent="0.25">
      <c r="B5">
        <v>0.99651999999999996</v>
      </c>
      <c r="C5">
        <v>5.6999999999999998E-4</v>
      </c>
      <c r="E5" s="68">
        <f t="shared" ref="E5:F36" si="0">$A$4*B5</f>
        <v>27.062106104444432</v>
      </c>
      <c r="F5" s="68">
        <f t="shared" si="0"/>
        <v>1.5479268333333327E-2</v>
      </c>
      <c r="I5">
        <f t="shared" ref="I5:I35" si="1">F5-F38</f>
        <v>0.31827548222222213</v>
      </c>
      <c r="L5" s="70" t="str">
        <f>'External layout'!A3</f>
        <v xml:space="preserve">Width: </v>
      </c>
      <c r="M5" s="70">
        <f>'External layout'!B3</f>
        <v>0.12</v>
      </c>
      <c r="N5" s="70">
        <f>'External layout'!C3</f>
        <v>0</v>
      </c>
      <c r="AC5" t="s">
        <v>2110</v>
      </c>
      <c r="AI5" s="136">
        <f>Wing!D118</f>
        <v>6.008667497812771E-2</v>
      </c>
      <c r="AJ5" s="136">
        <f>Wing!E118</f>
        <v>0.20003944641294832</v>
      </c>
      <c r="AL5" s="136">
        <f>Wing!M118</f>
        <v>6.008667497812771E-2</v>
      </c>
      <c r="AM5" s="136">
        <f>Wing!N118</f>
        <v>-0.12788998911981928</v>
      </c>
      <c r="AR5">
        <f>0.3173</f>
        <v>0.31730000000000003</v>
      </c>
      <c r="AS5" s="135">
        <f>AR5/2.54</f>
        <v>0.1249212598425197</v>
      </c>
    </row>
    <row r="6" spans="1:45" x14ac:dyDescent="0.25">
      <c r="B6">
        <v>0.98633999999999999</v>
      </c>
      <c r="C6">
        <v>2.4199999999999998E-3</v>
      </c>
      <c r="E6" s="68">
        <f t="shared" si="0"/>
        <v>26.785651803333323</v>
      </c>
      <c r="F6" s="68">
        <f t="shared" si="0"/>
        <v>6.5718998888888866E-2</v>
      </c>
      <c r="I6">
        <f t="shared" si="1"/>
        <v>0.52765295388888867</v>
      </c>
      <c r="L6" s="70" t="str">
        <f>'External layout'!A4</f>
        <v xml:space="preserve">L_nose: </v>
      </c>
      <c r="M6" s="70">
        <f>'External layout'!B4</f>
        <v>0.223389068442015</v>
      </c>
      <c r="N6" s="70">
        <f>'External layout'!C4</f>
        <v>0</v>
      </c>
      <c r="Z6" t="s">
        <v>1837</v>
      </c>
      <c r="AA6" t="s">
        <v>1838</v>
      </c>
      <c r="AC6" t="s">
        <v>1837</v>
      </c>
      <c r="AD6" t="s">
        <v>1838</v>
      </c>
      <c r="AI6" s="136">
        <f>Wing!D119</f>
        <v>0.15075126640419942</v>
      </c>
      <c r="AJ6" s="136">
        <f>Wing!E119</f>
        <v>0.32940755446194214</v>
      </c>
      <c r="AL6" s="136">
        <f>Wing!M119</f>
        <v>0.15075126640419942</v>
      </c>
      <c r="AM6" s="136">
        <f>Wing!N119</f>
        <v>-0.18172708315774488</v>
      </c>
      <c r="AQ6">
        <f>6-AR5</f>
        <v>5.6826999999999996</v>
      </c>
    </row>
    <row r="7" spans="1:45" x14ac:dyDescent="0.25">
      <c r="B7">
        <v>0.97004000000000001</v>
      </c>
      <c r="C7">
        <v>5.7099999999999998E-3</v>
      </c>
      <c r="E7" s="68">
        <f t="shared" si="0"/>
        <v>26.342999042222214</v>
      </c>
      <c r="F7" s="68">
        <f t="shared" si="0"/>
        <v>0.15506424944444439</v>
      </c>
      <c r="I7">
        <f t="shared" si="1"/>
        <v>0.75386752444444416</v>
      </c>
      <c r="L7" s="70" t="str">
        <f>'External layout'!A5</f>
        <v xml:space="preserve">L_body: </v>
      </c>
      <c r="M7" s="70">
        <f>'External layout'!B5</f>
        <v>0.72</v>
      </c>
      <c r="N7" s="70">
        <f>'External layout'!C5</f>
        <v>0</v>
      </c>
      <c r="Z7">
        <v>0</v>
      </c>
      <c r="AA7">
        <v>0</v>
      </c>
      <c r="AC7">
        <f>(Table1[[#This Row],[x]]+($M$14-$M$6)*100)*10</f>
        <v>210.70179547581662</v>
      </c>
      <c r="AD7" s="321">
        <f>(AA7+(5.6827-$AF$2))*10</f>
        <v>27.372939588888897</v>
      </c>
      <c r="AI7" s="136">
        <f>Wing!D120</f>
        <v>0.28332684820647408</v>
      </c>
      <c r="AJ7" s="136">
        <f>Wing!E120</f>
        <v>0.45973790463692016</v>
      </c>
      <c r="AL7" s="136">
        <f>Wing!M120</f>
        <v>0.28332684820647408</v>
      </c>
      <c r="AM7" s="136">
        <f>Wing!N120</f>
        <v>-0.2285199265928155</v>
      </c>
    </row>
    <row r="8" spans="1:45" x14ac:dyDescent="0.25">
      <c r="B8">
        <v>0.94818000000000002</v>
      </c>
      <c r="C8">
        <v>1.0359999999999999E-2</v>
      </c>
      <c r="E8" s="68">
        <f t="shared" si="0"/>
        <v>25.749355523333325</v>
      </c>
      <c r="F8" s="68">
        <f t="shared" si="0"/>
        <v>0.28134249111111098</v>
      </c>
      <c r="I8">
        <f t="shared" si="1"/>
        <v>0.99366040055555516</v>
      </c>
      <c r="L8" s="70" t="str">
        <f>'External layout'!A6</f>
        <v xml:space="preserve">L_rear: </v>
      </c>
      <c r="M8" s="70">
        <f>'External layout'!B6</f>
        <v>0.55579956885405424</v>
      </c>
      <c r="N8" s="70">
        <f>'External layout'!C6</f>
        <v>0</v>
      </c>
      <c r="Z8">
        <v>2.7971309444444436E-2</v>
      </c>
      <c r="AA8">
        <v>0.19308350499999993</v>
      </c>
      <c r="AC8" s="515">
        <f>(Table1[[#This Row],[x]]+($M$14-$M$6)*100)*10</f>
        <v>210.9815085702611</v>
      </c>
      <c r="AD8" s="321">
        <f t="shared" ref="AD8:AD39" si="2">(AA8+(5.6827-$AF$2))*10</f>
        <v>29.3037746388889</v>
      </c>
      <c r="AI8" s="136">
        <f>Wing!D121</f>
        <v>0.45674426246719141</v>
      </c>
      <c r="AJ8" s="136">
        <f>Wing!E121</f>
        <v>0.58707461264216954</v>
      </c>
      <c r="AL8" s="136">
        <f>Wing!M121</f>
        <v>0.45674426246719141</v>
      </c>
      <c r="AM8" s="136">
        <f>Wing!N121</f>
        <v>-0.26943426509370638</v>
      </c>
    </row>
    <row r="9" spans="1:45" x14ac:dyDescent="0.25">
      <c r="B9">
        <v>0.92127000000000003</v>
      </c>
      <c r="C9">
        <v>1.6150000000000001E-2</v>
      </c>
      <c r="E9" s="68">
        <f t="shared" si="0"/>
        <v>25.018571118333323</v>
      </c>
      <c r="F9" s="68">
        <f t="shared" si="0"/>
        <v>0.43857926944444431</v>
      </c>
      <c r="I9">
        <f t="shared" si="1"/>
        <v>1.2391561649999996</v>
      </c>
      <c r="L9" s="70" t="str">
        <f>'External layout'!A7</f>
        <v xml:space="preserve">L_total: </v>
      </c>
      <c r="M9" s="70">
        <f>'External layout'!B7</f>
        <v>1.4991886372960692</v>
      </c>
      <c r="N9" s="70">
        <f>'External layout'!C7</f>
        <v>0</v>
      </c>
      <c r="Z9">
        <v>0.15262015444444438</v>
      </c>
      <c r="AA9">
        <v>0.50810019388888872</v>
      </c>
      <c r="AC9" s="515">
        <f>(Table1[[#This Row],[x]]+($M$14-$M$6)*100)*10</f>
        <v>212.22799702026109</v>
      </c>
      <c r="AD9" s="321">
        <f t="shared" si="2"/>
        <v>32.453941527777786</v>
      </c>
      <c r="AI9" s="136">
        <f>Wing!D122</f>
        <v>0.67025509864391919</v>
      </c>
      <c r="AJ9" s="136">
        <f>Wing!E122</f>
        <v>0.70735487839020095</v>
      </c>
      <c r="AL9" s="136">
        <f>Wing!M122</f>
        <v>0.67025509864391919</v>
      </c>
      <c r="AM9" s="136">
        <f>Wing!N122</f>
        <v>-0.30366276499631389</v>
      </c>
    </row>
    <row r="10" spans="1:45" x14ac:dyDescent="0.25">
      <c r="B10">
        <v>0.88966999999999996</v>
      </c>
      <c r="C10">
        <v>2.2890000000000001E-2</v>
      </c>
      <c r="E10" s="68">
        <f t="shared" si="0"/>
        <v>24.160422207222211</v>
      </c>
      <c r="F10" s="68">
        <f t="shared" si="0"/>
        <v>0.62161482833333315</v>
      </c>
      <c r="I10">
        <f t="shared" si="1"/>
        <v>1.484923495555555</v>
      </c>
      <c r="L10" s="70" t="str">
        <f>'External layout'!A8</f>
        <v xml:space="preserve">Angle: </v>
      </c>
      <c r="M10" s="70">
        <f>'External layout'!B8</f>
        <v>15</v>
      </c>
      <c r="N10" s="70">
        <f>'External layout'!C8</f>
        <v>0</v>
      </c>
      <c r="Z10">
        <v>0.38290821666666652</v>
      </c>
      <c r="AA10">
        <v>0.83669518833333301</v>
      </c>
      <c r="AC10" s="515">
        <f>(Table1[[#This Row],[x]]+($M$14-$M$6)*100)*10</f>
        <v>214.53087764248329</v>
      </c>
      <c r="AD10" s="321">
        <f t="shared" si="2"/>
        <v>35.739891472222226</v>
      </c>
      <c r="AI10" s="136">
        <f>Wing!D123</f>
        <v>0.92343169356955346</v>
      </c>
      <c r="AJ10" s="136">
        <f>Wing!E123</f>
        <v>0.8175850597112857</v>
      </c>
      <c r="AL10" s="136">
        <f>Wing!M123</f>
        <v>0.92343169356955346</v>
      </c>
      <c r="AM10" s="136">
        <f>Wing!N123</f>
        <v>-0.3307220432333528</v>
      </c>
    </row>
    <row r="11" spans="1:45" x14ac:dyDescent="0.25">
      <c r="B11">
        <v>0.85380999999999996</v>
      </c>
      <c r="C11">
        <v>3.049E-2</v>
      </c>
      <c r="E11" s="68">
        <f t="shared" si="0"/>
        <v>23.186586132777769</v>
      </c>
      <c r="F11" s="68">
        <f t="shared" si="0"/>
        <v>0.82800507277777746</v>
      </c>
      <c r="I11">
        <f t="shared" si="1"/>
        <v>1.7293329955555548</v>
      </c>
      <c r="L11" s="70">
        <f>'External layout'!A9</f>
        <v>0</v>
      </c>
      <c r="M11" s="70">
        <f>'External layout'!B9</f>
        <v>0</v>
      </c>
      <c r="N11" s="70">
        <f>'External layout'!C9</f>
        <v>0</v>
      </c>
      <c r="Z11">
        <v>0.71965019444444411</v>
      </c>
      <c r="AA11">
        <v>1.1677342777777773</v>
      </c>
      <c r="AC11" s="515">
        <f>(Table1[[#This Row],[x]]+($M$14-$M$6)*100)*10</f>
        <v>217.89829742026109</v>
      </c>
      <c r="AD11" s="321">
        <f t="shared" si="2"/>
        <v>39.050282366666671</v>
      </c>
      <c r="AI11" s="136">
        <f>Wing!D124</f>
        <v>1.2148841419510057</v>
      </c>
      <c r="AJ11" s="136">
        <f>Wing!E124</f>
        <v>0.91541300918635138</v>
      </c>
      <c r="AL11" s="136">
        <f>Wing!M124</f>
        <v>1.2148841419510057</v>
      </c>
      <c r="AM11" s="136">
        <f>Wing!N124</f>
        <v>-0.35098857628143015</v>
      </c>
    </row>
    <row r="12" spans="1:45" x14ac:dyDescent="0.25">
      <c r="B12">
        <v>0.81427000000000005</v>
      </c>
      <c r="C12">
        <v>3.8850000000000003E-2</v>
      </c>
      <c r="E12" s="68">
        <f t="shared" si="0"/>
        <v>22.112813729444436</v>
      </c>
      <c r="F12" s="68">
        <f t="shared" si="0"/>
        <v>1.0550343416666663</v>
      </c>
      <c r="I12">
        <f t="shared" si="1"/>
        <v>1.969397437777777</v>
      </c>
      <c r="L12" s="70">
        <f>'External layout'!A10</f>
        <v>0</v>
      </c>
      <c r="M12" s="70">
        <f>'External layout'!B10</f>
        <v>0</v>
      </c>
      <c r="N12" s="70">
        <f>'External layout'!C10</f>
        <v>0</v>
      </c>
      <c r="Z12">
        <v>1.1601304266666663</v>
      </c>
      <c r="AA12">
        <v>1.4911695161111105</v>
      </c>
      <c r="AC12" s="515">
        <f>(Table1[[#This Row],[x]]+($M$14-$M$6)*100)*10</f>
        <v>222.30309974248328</v>
      </c>
      <c r="AD12" s="321">
        <f t="shared" si="2"/>
        <v>42.284634749999995</v>
      </c>
      <c r="AI12" s="136">
        <f>Wing!D125</f>
        <v>1.5430087069116354</v>
      </c>
      <c r="AJ12" s="136">
        <f>Wing!E125</f>
        <v>0.99859349518810103</v>
      </c>
      <c r="AL12" s="136">
        <f>Wing!M125</f>
        <v>1.5430087069116354</v>
      </c>
      <c r="AM12" s="136">
        <f>Wing!N125</f>
        <v>-0.36379321288319633</v>
      </c>
    </row>
    <row r="13" spans="1:45" x14ac:dyDescent="0.25">
      <c r="B13">
        <v>0.77166000000000001</v>
      </c>
      <c r="C13">
        <v>4.7780000000000003E-2</v>
      </c>
      <c r="E13" s="68">
        <f t="shared" si="0"/>
        <v>20.955670529999992</v>
      </c>
      <c r="F13" s="68">
        <f t="shared" si="0"/>
        <v>1.2975428788888885</v>
      </c>
      <c r="I13">
        <f t="shared" si="1"/>
        <v>2.2010433305555548</v>
      </c>
      <c r="L13" s="70" t="str">
        <f>'External layout'!A11</f>
        <v>WING</v>
      </c>
      <c r="M13" s="70">
        <f>'External layout'!B11</f>
        <v>0</v>
      </c>
      <c r="N13" s="70">
        <f>'External layout'!C11</f>
        <v>0</v>
      </c>
      <c r="Z13">
        <v>1.7024479505555548</v>
      </c>
      <c r="AA13">
        <v>1.7966813911111104</v>
      </c>
      <c r="AC13" s="515">
        <f>(Table1[[#This Row],[x]]+($M$14-$M$6)*100)*10</f>
        <v>227.72627498137217</v>
      </c>
      <c r="AD13" s="321">
        <f t="shared" si="2"/>
        <v>45.3397535</v>
      </c>
      <c r="AI13" s="136">
        <f>Wing!D126</f>
        <v>1.9057739884076983</v>
      </c>
      <c r="AJ13" s="136">
        <f>Wing!E126</f>
        <v>1.0654158650481187</v>
      </c>
      <c r="AL13" s="136">
        <f>Wing!M126</f>
        <v>1.9057739884076983</v>
      </c>
      <c r="AM13" s="136">
        <f>Wing!N126</f>
        <v>-0.36896983886495166</v>
      </c>
    </row>
    <row r="14" spans="1:45" x14ac:dyDescent="0.25">
      <c r="B14">
        <v>0.72662000000000004</v>
      </c>
      <c r="C14">
        <v>5.7020000000000001E-2</v>
      </c>
      <c r="E14" s="68">
        <f t="shared" si="0"/>
        <v>19.732536765555547</v>
      </c>
      <c r="F14" s="68">
        <f t="shared" si="0"/>
        <v>1.5484699655555549</v>
      </c>
      <c r="I14">
        <f t="shared" si="1"/>
        <v>2.4191109177777768</v>
      </c>
      <c r="L14" s="70" t="str">
        <f>'External layout'!A12</f>
        <v xml:space="preserve">x_LE: </v>
      </c>
      <c r="M14" s="70">
        <f>'External layout'!B12</f>
        <v>0.43409086391783164</v>
      </c>
      <c r="N14" s="70">
        <f>'External layout'!C12</f>
        <v>0</v>
      </c>
      <c r="Z14">
        <v>2.3455165016666659</v>
      </c>
      <c r="AA14">
        <v>2.076666051666666</v>
      </c>
      <c r="AC14" s="515">
        <f>(Table1[[#This Row],[x]]+($M$14-$M$6)*100)*10</f>
        <v>234.15696049248328</v>
      </c>
      <c r="AD14" s="321">
        <f t="shared" si="2"/>
        <v>48.139600105555559</v>
      </c>
      <c r="AI14" s="136">
        <f>Wing!D127</f>
        <v>2.3009347548118977</v>
      </c>
      <c r="AJ14" s="136">
        <f>Wing!E127</f>
        <v>1.1149178766404195</v>
      </c>
      <c r="AL14" s="136">
        <f>Wing!M127</f>
        <v>2.3009347548118977</v>
      </c>
      <c r="AM14" s="136">
        <f>Wing!N127</f>
        <v>-0.36702504549021142</v>
      </c>
    </row>
    <row r="15" spans="1:45" x14ac:dyDescent="0.25">
      <c r="B15">
        <v>0.67972999999999995</v>
      </c>
      <c r="C15">
        <v>6.6259999999999999E-2</v>
      </c>
      <c r="E15" s="68">
        <f t="shared" si="0"/>
        <v>18.459163270555546</v>
      </c>
      <c r="F15" s="68">
        <f t="shared" si="0"/>
        <v>1.7993970522222216</v>
      </c>
      <c r="I15">
        <f t="shared" si="1"/>
        <v>2.6168110466666654</v>
      </c>
      <c r="L15" s="70" t="str">
        <f>'External layout'!A13</f>
        <v xml:space="preserve">x_AC: </v>
      </c>
      <c r="M15" s="70">
        <f>'External layout'!B13</f>
        <v>0.50198239169560943</v>
      </c>
      <c r="N15" s="70">
        <f>'External layout'!C13</f>
        <v>0</v>
      </c>
      <c r="Z15">
        <v>3.085805720555554</v>
      </c>
      <c r="AA15">
        <v>2.3251490433333326</v>
      </c>
      <c r="AC15" s="515">
        <f>(Table1[[#This Row],[x]]+($M$14-$M$6)*100)*10</f>
        <v>241.55985268137218</v>
      </c>
      <c r="AD15" s="321">
        <f t="shared" si="2"/>
        <v>50.624430022222228</v>
      </c>
      <c r="AI15" s="136">
        <f>Wing!D128</f>
        <v>2.7259250271216091</v>
      </c>
      <c r="AJ15" s="136">
        <f>Wing!E128</f>
        <v>1.1463511194225717</v>
      </c>
      <c r="AL15" s="136">
        <f>Wing!M128</f>
        <v>2.7259250271216091</v>
      </c>
      <c r="AM15" s="136">
        <f>Wing!N128</f>
        <v>-0.35004622499027188</v>
      </c>
    </row>
    <row r="16" spans="1:45" x14ac:dyDescent="0.25">
      <c r="B16">
        <v>0.63153999999999999</v>
      </c>
      <c r="C16">
        <v>7.5170000000000001E-2</v>
      </c>
      <c r="E16" s="68">
        <f t="shared" si="0"/>
        <v>17.150486181111106</v>
      </c>
      <c r="F16" s="68">
        <f t="shared" si="0"/>
        <v>2.0413624572222213</v>
      </c>
      <c r="I16">
        <f t="shared" si="1"/>
        <v>2.7873545644444433</v>
      </c>
      <c r="L16" s="70" t="str">
        <f>'External layout'!A14</f>
        <v xml:space="preserve">Chord root: </v>
      </c>
      <c r="M16" s="70">
        <f>'External layout'!B14</f>
        <v>0.27156611111111101</v>
      </c>
      <c r="N16" s="70">
        <f>'External layout'!C14</f>
        <v>0</v>
      </c>
      <c r="Z16">
        <v>3.9192421155555541</v>
      </c>
      <c r="AA16">
        <v>2.5364274777777767</v>
      </c>
      <c r="AC16" s="515">
        <f>(Table1[[#This Row],[x]]+($M$14-$M$6)*100)*10</f>
        <v>249.89421663137219</v>
      </c>
      <c r="AD16" s="321">
        <f t="shared" si="2"/>
        <v>52.737214366666663</v>
      </c>
      <c r="AI16" s="136">
        <f>Wing!D129</f>
        <v>3.1775373315835509</v>
      </c>
      <c r="AJ16" s="136">
        <f>Wing!E129</f>
        <v>1.1596086776027992</v>
      </c>
      <c r="AL16" s="136">
        <f>Wing!M129</f>
        <v>3.1775373315835509</v>
      </c>
      <c r="AM16" s="136">
        <f>Wing!N129</f>
        <v>-0.33488169299072479</v>
      </c>
    </row>
    <row r="17" spans="2:39" x14ac:dyDescent="0.25">
      <c r="B17">
        <v>0.58253999999999995</v>
      </c>
      <c r="C17">
        <v>8.3470000000000003E-2</v>
      </c>
      <c r="E17" s="68">
        <f t="shared" si="0"/>
        <v>15.819812236666658</v>
      </c>
      <c r="F17" s="68">
        <f t="shared" si="0"/>
        <v>2.2667623294444437</v>
      </c>
      <c r="I17">
        <f t="shared" si="1"/>
        <v>2.925581714999999</v>
      </c>
      <c r="L17" s="70" t="str">
        <f>'External layout'!A15</f>
        <v xml:space="preserve">Span: </v>
      </c>
      <c r="M17" s="70">
        <f>'External layout'!B15</f>
        <v>1.9009627777777778</v>
      </c>
      <c r="N17" s="70">
        <f>'External layout'!C15</f>
        <v>0</v>
      </c>
      <c r="Z17">
        <v>4.8406659305555531</v>
      </c>
      <c r="AA17">
        <v>2.7061562972222211</v>
      </c>
      <c r="AC17" s="515">
        <f>(Table1[[#This Row],[x]]+($M$14-$M$6)*100)*10</f>
        <v>259.10845478137213</v>
      </c>
      <c r="AD17" s="321">
        <f t="shared" si="2"/>
        <v>54.434502561111117</v>
      </c>
      <c r="AI17" s="136">
        <f>Wing!D130</f>
        <v>3.6521365312773391</v>
      </c>
      <c r="AJ17" s="136">
        <f>Wing!E130</f>
        <v>1.154797466972878</v>
      </c>
      <c r="AL17" s="136">
        <f>Wing!M130</f>
        <v>3.6521365312773391</v>
      </c>
      <c r="AM17" s="136">
        <f>Wing!N130</f>
        <v>-0.31360183993415153</v>
      </c>
    </row>
    <row r="18" spans="2:39" x14ac:dyDescent="0.25">
      <c r="B18">
        <v>0.53322000000000003</v>
      </c>
      <c r="C18">
        <v>9.0889999999999999E-2</v>
      </c>
      <c r="E18" s="68">
        <f t="shared" si="0"/>
        <v>14.480448176666663</v>
      </c>
      <c r="F18" s="68">
        <f t="shared" si="0"/>
        <v>2.4682643838888878</v>
      </c>
      <c r="I18">
        <f t="shared" si="1"/>
        <v>3.028776837222221</v>
      </c>
      <c r="L18" s="70" t="str">
        <f>'External layout'!A16</f>
        <v xml:space="preserve">Airfoil: </v>
      </c>
      <c r="M18" s="70" t="str">
        <f>'External layout'!B16</f>
        <v>SD7062</v>
      </c>
      <c r="N18" s="70">
        <f>'External layout'!C16</f>
        <v>0</v>
      </c>
      <c r="Z18">
        <v>5.8443742772222205</v>
      </c>
      <c r="AA18">
        <v>2.8318914066666654</v>
      </c>
      <c r="AC18" s="515">
        <f>(Table1[[#This Row],[x]]+($M$14-$M$6)*100)*10</f>
        <v>269.1455382480388</v>
      </c>
      <c r="AD18" s="321">
        <f t="shared" si="2"/>
        <v>55.691853655555548</v>
      </c>
      <c r="AI18" s="136">
        <f>Wing!D131</f>
        <v>4.1460874892825883</v>
      </c>
      <c r="AJ18" s="136">
        <f>Wing!E131</f>
        <v>1.1324520664916882</v>
      </c>
      <c r="AL18" s="136">
        <f>Wing!M131</f>
        <v>4.1460874892825883</v>
      </c>
      <c r="AM18" s="136">
        <f>Wing!N131</f>
        <v>-0.28622506921299778</v>
      </c>
    </row>
    <row r="19" spans="2:39" x14ac:dyDescent="0.25">
      <c r="B19">
        <v>0.48402000000000001</v>
      </c>
      <c r="C19">
        <v>9.7229999999999997E-2</v>
      </c>
      <c r="E19" s="68">
        <f t="shared" si="0"/>
        <v>13.144342909999995</v>
      </c>
      <c r="F19" s="68">
        <f t="shared" si="0"/>
        <v>2.6404372983333322</v>
      </c>
      <c r="I19">
        <f t="shared" si="1"/>
        <v>3.0966683649999984</v>
      </c>
      <c r="L19" s="70" t="str">
        <f>'External layout'!A17</f>
        <v xml:space="preserve">Aileron_span_start: </v>
      </c>
      <c r="M19" s="70">
        <f>'External layout'!B17</f>
        <v>0.56917017319777063</v>
      </c>
      <c r="N19" s="70">
        <f>'External layout'!C17</f>
        <v>0</v>
      </c>
      <c r="Z19">
        <v>6.9238495688888868</v>
      </c>
      <c r="AA19">
        <v>2.9117318433333321</v>
      </c>
      <c r="AC19" s="515">
        <f>(Table1[[#This Row],[x]]+($M$14-$M$6)*100)*10</f>
        <v>279.94029116470551</v>
      </c>
      <c r="AD19" s="321">
        <f t="shared" si="2"/>
        <v>56.490258022222221</v>
      </c>
      <c r="AI19" s="136">
        <f>Wing!D132</f>
        <v>4.655113573928257</v>
      </c>
      <c r="AJ19" s="136">
        <f>Wing!E132</f>
        <v>1.0936416340769901</v>
      </c>
      <c r="AL19" s="136">
        <f>Wing!M132</f>
        <v>4.655113573928257</v>
      </c>
      <c r="AM19" s="136">
        <f>Wing!N132</f>
        <v>-0.25382190115231584</v>
      </c>
    </row>
    <row r="20" spans="2:39" x14ac:dyDescent="0.25">
      <c r="B20">
        <v>0.43540000000000001</v>
      </c>
      <c r="C20">
        <v>0.10229000000000001</v>
      </c>
      <c r="E20" s="68">
        <f t="shared" si="0"/>
        <v>11.823988477777773</v>
      </c>
      <c r="F20" s="68">
        <f t="shared" si="0"/>
        <v>2.7778497505555548</v>
      </c>
      <c r="I20">
        <f t="shared" si="1"/>
        <v>3.1295278644444435</v>
      </c>
      <c r="L20" s="70" t="str">
        <f>'External layout'!A18</f>
        <v xml:space="preserve">Aileron_span_end: </v>
      </c>
      <c r="M20" s="70">
        <f>'External layout'!B18</f>
        <v>0.90295731944444424</v>
      </c>
      <c r="N20" s="70">
        <f>'External layout'!C18</f>
        <v>0</v>
      </c>
      <c r="Z20">
        <v>8.07094482222222</v>
      </c>
      <c r="AA20">
        <v>2.9454060411111098</v>
      </c>
      <c r="AC20" s="515">
        <f>(Table1[[#This Row],[x]]+($M$14-$M$6)*100)*10</f>
        <v>291.41124369803885</v>
      </c>
      <c r="AD20" s="321">
        <f t="shared" si="2"/>
        <v>56.826999999999998</v>
      </c>
      <c r="AI20" s="136">
        <f>Wing!D133</f>
        <v>5.1749381535433052</v>
      </c>
      <c r="AJ20" s="136">
        <f>Wing!E133</f>
        <v>1.0395422434383197</v>
      </c>
      <c r="AL20" s="136">
        <f>Wing!M133</f>
        <v>5.1749381535433052</v>
      </c>
      <c r="AM20" s="136">
        <f>Wing!N133</f>
        <v>-0.21761418181275316</v>
      </c>
    </row>
    <row r="21" spans="2:39" x14ac:dyDescent="0.25">
      <c r="B21">
        <v>0.38779000000000002</v>
      </c>
      <c r="C21">
        <v>0.10592</v>
      </c>
      <c r="E21" s="68">
        <f t="shared" si="0"/>
        <v>10.531062222777773</v>
      </c>
      <c r="F21" s="68">
        <f t="shared" si="0"/>
        <v>2.8764282488888879</v>
      </c>
      <c r="I21">
        <f t="shared" si="1"/>
        <v>3.128170033888888</v>
      </c>
      <c r="L21" s="70" t="str">
        <f>'External layout'!A19</f>
        <v xml:space="preserve">Aileron_chord_ratio: </v>
      </c>
      <c r="M21" s="70">
        <f>'External layout'!B19</f>
        <v>0.25</v>
      </c>
      <c r="N21" s="70">
        <f>'External layout'!C19</f>
        <v>0</v>
      </c>
      <c r="Z21">
        <v>9.2764267894444412</v>
      </c>
      <c r="AA21">
        <v>2.9331855661111099</v>
      </c>
      <c r="AC21" s="515">
        <f>(Table1[[#This Row],[x]]+($M$14-$M$6)*100)*10</f>
        <v>303.46606337026105</v>
      </c>
      <c r="AD21" s="321">
        <f t="shared" si="2"/>
        <v>56.704795249999989</v>
      </c>
      <c r="AI21" s="136">
        <f>Wing!D134</f>
        <v>5.7009638490813632</v>
      </c>
      <c r="AJ21" s="136">
        <f>Wing!E134</f>
        <v>0.97175763145231808</v>
      </c>
      <c r="AL21" s="136">
        <f>Wing!M134</f>
        <v>5.7009638490813632</v>
      </c>
      <c r="AM21" s="136">
        <f>Wing!N134</f>
        <v>-0.17943188058113479</v>
      </c>
    </row>
    <row r="22" spans="2:39" x14ac:dyDescent="0.25">
      <c r="B22">
        <v>0.34159</v>
      </c>
      <c r="C22">
        <v>0.10800999999999999</v>
      </c>
      <c r="E22" s="68">
        <f t="shared" si="0"/>
        <v>9.2764267894444412</v>
      </c>
      <c r="F22" s="68">
        <f t="shared" si="0"/>
        <v>2.9331855661111099</v>
      </c>
      <c r="I22">
        <f t="shared" si="1"/>
        <v>3.0942242699999989</v>
      </c>
      <c r="L22" s="70" t="str">
        <f>'External layout'!A20</f>
        <v xml:space="preserve">Aileron_angle_max: </v>
      </c>
      <c r="M22" s="70">
        <f>'External layout'!B20</f>
        <v>25</v>
      </c>
      <c r="N22" s="70">
        <f>'External layout'!C20</f>
        <v>0</v>
      </c>
      <c r="Z22">
        <v>10.531062222777773</v>
      </c>
      <c r="AA22">
        <v>2.8764282488888879</v>
      </c>
      <c r="AC22" s="515">
        <f>(Table1[[#This Row],[x]]+($M$14-$M$6)*100)*10</f>
        <v>316.01241770359434</v>
      </c>
      <c r="AD22" s="321">
        <f t="shared" si="2"/>
        <v>56.137222077777778</v>
      </c>
      <c r="AI22" s="136">
        <f>Wing!D135</f>
        <v>6.2282725341207321</v>
      </c>
      <c r="AJ22" s="136">
        <f>Wing!E135</f>
        <v>0.89242611395450533</v>
      </c>
      <c r="AL22" s="136">
        <f>Wing!M135</f>
        <v>6.2282725341207321</v>
      </c>
      <c r="AM22" s="136">
        <f>Wing!N135</f>
        <v>-0.14368213922253356</v>
      </c>
    </row>
    <row r="23" spans="2:39" x14ac:dyDescent="0.25">
      <c r="B23">
        <v>0.29720000000000002</v>
      </c>
      <c r="C23">
        <v>0.10846</v>
      </c>
      <c r="E23" s="68">
        <f t="shared" si="0"/>
        <v>8.07094482222222</v>
      </c>
      <c r="F23" s="68">
        <f t="shared" si="0"/>
        <v>2.9454060411111098</v>
      </c>
      <c r="I23">
        <f t="shared" si="1"/>
        <v>3.028776837222221</v>
      </c>
      <c r="L23" s="70" t="str">
        <f>'External layout'!A21</f>
        <v xml:space="preserve">Aileron_angle_min: </v>
      </c>
      <c r="M23" s="70">
        <f>'External layout'!B21</f>
        <v>-25</v>
      </c>
      <c r="N23" s="70">
        <f>'External layout'!C21</f>
        <v>0</v>
      </c>
      <c r="Z23">
        <v>11.823988477777773</v>
      </c>
      <c r="AA23">
        <v>2.7778497505555548</v>
      </c>
      <c r="AC23" s="515">
        <f>(Table1[[#This Row],[x]]+($M$14-$M$6)*100)*10</f>
        <v>328.94168025359431</v>
      </c>
      <c r="AD23" s="321">
        <f t="shared" si="2"/>
        <v>55.151437094444447</v>
      </c>
      <c r="AI23" s="136">
        <f>Wing!D136</f>
        <v>6.7521599138232693</v>
      </c>
      <c r="AJ23" s="136">
        <f>Wing!E136</f>
        <v>0.80368600678040214</v>
      </c>
      <c r="AL23" s="136">
        <f>Wing!M136</f>
        <v>6.7521599138232693</v>
      </c>
      <c r="AM23" s="136">
        <f>Wing!N136</f>
        <v>-0.10754384372057128</v>
      </c>
    </row>
    <row r="24" spans="2:39" x14ac:dyDescent="0.25">
      <c r="B24">
        <v>0.25496000000000002</v>
      </c>
      <c r="C24">
        <v>0.10722</v>
      </c>
      <c r="E24" s="68">
        <f t="shared" si="0"/>
        <v>6.9238495688888868</v>
      </c>
      <c r="F24" s="68">
        <f t="shared" si="0"/>
        <v>2.9117318433333321</v>
      </c>
      <c r="I24">
        <f t="shared" si="1"/>
        <v>2.9331855661111099</v>
      </c>
      <c r="L24" s="70">
        <f>'External layout'!A22</f>
        <v>0</v>
      </c>
      <c r="M24" s="70">
        <f>'External layout'!B22</f>
        <v>0</v>
      </c>
      <c r="N24" s="70">
        <f>'External layout'!C22</f>
        <v>0</v>
      </c>
      <c r="Z24">
        <v>13.144342909999995</v>
      </c>
      <c r="AA24">
        <v>2.6404372983333322</v>
      </c>
      <c r="AC24" s="515">
        <f>(Table1[[#This Row],[x]]+($M$14-$M$6)*100)*10</f>
        <v>342.1452245758166</v>
      </c>
      <c r="AD24" s="321">
        <f t="shared" si="2"/>
        <v>53.777312572222222</v>
      </c>
      <c r="AI24" s="136">
        <f>Wing!D137</f>
        <v>7.2673871143919477</v>
      </c>
      <c r="AJ24" s="136">
        <f>Wing!E137</f>
        <v>0.70842403630796125</v>
      </c>
      <c r="AL24" s="136">
        <f>Wing!M137</f>
        <v>7.2673871143919477</v>
      </c>
      <c r="AM24" s="136">
        <f>Wing!N137</f>
        <v>-7.3756351830910297E-2</v>
      </c>
    </row>
    <row r="25" spans="2:39" x14ac:dyDescent="0.25">
      <c r="B25">
        <v>0.21521000000000001</v>
      </c>
      <c r="C25">
        <v>0.10428</v>
      </c>
      <c r="E25" s="68">
        <f t="shared" si="0"/>
        <v>5.8443742772222205</v>
      </c>
      <c r="F25" s="68">
        <f t="shared" si="0"/>
        <v>2.8318914066666654</v>
      </c>
      <c r="I25">
        <f t="shared" si="1"/>
        <v>2.8082651549999986</v>
      </c>
      <c r="L25" s="70">
        <f>'External layout'!A23</f>
        <v>0</v>
      </c>
      <c r="M25" s="70">
        <f>'External layout'!B23</f>
        <v>0</v>
      </c>
      <c r="N25" s="70">
        <f>'External layout'!C23</f>
        <v>0</v>
      </c>
      <c r="Z25">
        <v>14.480448176666663</v>
      </c>
      <c r="AA25">
        <v>2.4682643838888878</v>
      </c>
      <c r="AC25" s="515">
        <f>(Table1[[#This Row],[x]]+($M$14-$M$6)*100)*10</f>
        <v>355.50627724248329</v>
      </c>
      <c r="AD25" s="321">
        <f t="shared" si="2"/>
        <v>52.055583427777776</v>
      </c>
      <c r="AI25" s="136">
        <f>Wing!D138</f>
        <v>7.7687152620297439</v>
      </c>
      <c r="AJ25" s="136">
        <f>Wing!E138</f>
        <v>0.6096338447069114</v>
      </c>
      <c r="AL25" s="136">
        <f>Wing!M138</f>
        <v>7.7687152620297439</v>
      </c>
      <c r="AM25" s="136">
        <f>Wing!N138</f>
        <v>-4.3543035714729311E-2</v>
      </c>
    </row>
    <row r="26" spans="2:39" x14ac:dyDescent="0.25">
      <c r="B26">
        <v>0.17824999999999999</v>
      </c>
      <c r="C26">
        <v>9.9650000000000002E-2</v>
      </c>
      <c r="E26" s="68">
        <f t="shared" si="0"/>
        <v>4.8406659305555531</v>
      </c>
      <c r="F26" s="68">
        <f t="shared" si="0"/>
        <v>2.7061562972222211</v>
      </c>
      <c r="I26">
        <f t="shared" si="1"/>
        <v>2.6548303022222211</v>
      </c>
      <c r="L26" s="70" t="str">
        <f>'External layout'!A24</f>
        <v>HSTAB</v>
      </c>
      <c r="M26" s="70">
        <f>'External layout'!B24</f>
        <v>0</v>
      </c>
      <c r="N26" s="70">
        <f>'External layout'!C24</f>
        <v>0</v>
      </c>
      <c r="Z26">
        <v>15.819812236666658</v>
      </c>
      <c r="AA26">
        <v>2.2667623294444437</v>
      </c>
      <c r="AC26" s="515">
        <f>(Table1[[#This Row],[x]]+($M$14-$M$6)*100)*10</f>
        <v>368.89991784248321</v>
      </c>
      <c r="AD26" s="321">
        <f t="shared" si="2"/>
        <v>50.040562883333337</v>
      </c>
      <c r="AI26" s="136">
        <f>Wing!D139</f>
        <v>8.2502639881889728</v>
      </c>
      <c r="AJ26" s="136">
        <f>Wing!E139</f>
        <v>0.51084365310586155</v>
      </c>
      <c r="AL26" s="136">
        <f>Wing!M139</f>
        <v>8.2502639881889728</v>
      </c>
      <c r="AM26" s="136">
        <f>Wing!N139</f>
        <v>-1.8018988933265E-2</v>
      </c>
    </row>
    <row r="27" spans="2:39" x14ac:dyDescent="0.25">
      <c r="B27">
        <v>0.14432</v>
      </c>
      <c r="C27">
        <v>9.3399999999999997E-2</v>
      </c>
      <c r="E27" s="68">
        <f t="shared" si="0"/>
        <v>3.9192421155555541</v>
      </c>
      <c r="F27" s="68">
        <f t="shared" si="0"/>
        <v>2.5364274777777767</v>
      </c>
      <c r="I27">
        <f t="shared" si="1"/>
        <v>2.4739672722222212</v>
      </c>
      <c r="L27" s="70" t="str">
        <f>'External layout'!A25</f>
        <v xml:space="preserve">x_LE: </v>
      </c>
      <c r="M27" s="70">
        <f>'External layout'!B25</f>
        <v>1.2128210156327217</v>
      </c>
      <c r="N27" s="70">
        <f>'External layout'!C25</f>
        <v>0</v>
      </c>
      <c r="Z27">
        <v>17.150486181111106</v>
      </c>
      <c r="AA27">
        <v>2.0413624572222213</v>
      </c>
      <c r="AC27" s="515">
        <f>(Table1[[#This Row],[x]]+($M$14-$M$6)*100)*10</f>
        <v>382.20665728692768</v>
      </c>
      <c r="AD27" s="321">
        <f t="shared" si="2"/>
        <v>47.786564161111116</v>
      </c>
      <c r="AI27" s="136">
        <f>Wing!D140</f>
        <v>8.7058321769466289</v>
      </c>
      <c r="AJ27" s="136">
        <f>Wing!E140</f>
        <v>0.41536785104986862</v>
      </c>
      <c r="AL27" s="136">
        <f>Wing!M140</f>
        <v>8.7058321769466289</v>
      </c>
      <c r="AM27" s="136">
        <f>Wing!N140</f>
        <v>2.3279793284166593E-3</v>
      </c>
    </row>
    <row r="28" spans="2:39" x14ac:dyDescent="0.25">
      <c r="B28">
        <v>0.11362999999999999</v>
      </c>
      <c r="C28">
        <v>8.5620000000000002E-2</v>
      </c>
      <c r="E28" s="68">
        <f t="shared" si="0"/>
        <v>3.085805720555554</v>
      </c>
      <c r="F28" s="68">
        <f t="shared" si="0"/>
        <v>2.3251490433333326</v>
      </c>
      <c r="I28">
        <f t="shared" si="1"/>
        <v>2.2664907633333327</v>
      </c>
      <c r="L28" s="70" t="str">
        <f>'External layout'!A26</f>
        <v xml:space="preserve">x_AC: </v>
      </c>
      <c r="M28" s="70">
        <f>'External layout'!B26</f>
        <v>1.248702621421125</v>
      </c>
      <c r="N28" s="70">
        <f>'External layout'!C26</f>
        <v>0</v>
      </c>
      <c r="Z28">
        <v>18.459163270555546</v>
      </c>
      <c r="AA28">
        <v>1.7993970522222216</v>
      </c>
      <c r="AC28" s="515">
        <f>(Table1[[#This Row],[x]]+($M$14-$M$6)*100)*10</f>
        <v>395.29342818137206</v>
      </c>
      <c r="AD28" s="321">
        <f t="shared" si="2"/>
        <v>45.36691011111111</v>
      </c>
      <c r="AI28" s="136">
        <f>Wing!D141</f>
        <v>9.1285772176290418</v>
      </c>
      <c r="AJ28" s="136">
        <f>Wing!E141</f>
        <v>0.32598624912510921</v>
      </c>
      <c r="AL28" s="136">
        <f>Wing!M141</f>
        <v>9.1285772176290418</v>
      </c>
      <c r="AM28" s="136">
        <f>Wing!N141</f>
        <v>1.6948066546182767E-2</v>
      </c>
    </row>
    <row r="29" spans="2:39" x14ac:dyDescent="0.25">
      <c r="B29">
        <v>8.6370000000000002E-2</v>
      </c>
      <c r="C29">
        <v>7.6469999999999996E-2</v>
      </c>
      <c r="E29" s="68">
        <f t="shared" si="0"/>
        <v>2.3455165016666659</v>
      </c>
      <c r="F29" s="68">
        <f t="shared" si="0"/>
        <v>2.076666051666666</v>
      </c>
      <c r="I29">
        <f t="shared" si="1"/>
        <v>2.0324007755555549</v>
      </c>
      <c r="L29" s="70" t="str">
        <f>'External layout'!A27</f>
        <v xml:space="preserve">z_AC: </v>
      </c>
      <c r="M29" s="70">
        <f>'External layout'!B27</f>
        <v>2.3800000000000002E-2</v>
      </c>
      <c r="N29" s="70">
        <f>'External layout'!C27</f>
        <v>0</v>
      </c>
      <c r="Z29">
        <v>19.732536765555547</v>
      </c>
      <c r="AA29">
        <v>1.5484699655555549</v>
      </c>
      <c r="AC29" s="515">
        <f>(Table1[[#This Row],[x]]+($M$14-$M$6)*100)*10</f>
        <v>408.02716313137211</v>
      </c>
      <c r="AD29" s="321">
        <f t="shared" si="2"/>
        <v>42.857639244444449</v>
      </c>
      <c r="AI29" s="136">
        <f>Wing!D142</f>
        <v>9.511977246937878</v>
      </c>
      <c r="AJ29" s="136">
        <f>Wing!E142</f>
        <v>0.244730247375328</v>
      </c>
      <c r="AL29" s="136">
        <f>Wing!M142</f>
        <v>9.511977246937878</v>
      </c>
      <c r="AM29" s="136">
        <f>Wing!N142</f>
        <v>2.1413805523927736E-2</v>
      </c>
    </row>
    <row r="30" spans="2:39" x14ac:dyDescent="0.25">
      <c r="B30">
        <v>6.2689999999999996E-2</v>
      </c>
      <c r="C30">
        <v>6.6159999999999997E-2</v>
      </c>
      <c r="E30" s="68">
        <f t="shared" si="0"/>
        <v>1.7024479505555548</v>
      </c>
      <c r="F30" s="68">
        <f t="shared" si="0"/>
        <v>1.7966813911111104</v>
      </c>
      <c r="I30">
        <f t="shared" si="1"/>
        <v>1.7716973088888881</v>
      </c>
      <c r="L30" s="70" t="str">
        <f>'External layout'!A28</f>
        <v xml:space="preserve">Chord root: </v>
      </c>
      <c r="M30" s="70">
        <f>'External layout'!B28</f>
        <v>0.14352642315361319</v>
      </c>
      <c r="N30" s="70">
        <f>'External layout'!C28</f>
        <v>0</v>
      </c>
      <c r="Z30">
        <v>20.955670529999992</v>
      </c>
      <c r="AA30">
        <v>1.2975428788888885</v>
      </c>
      <c r="AC30" s="515">
        <f>(Table1[[#This Row],[x]]+($M$14-$M$6)*100)*10</f>
        <v>420.25850077581651</v>
      </c>
      <c r="AD30" s="321">
        <f t="shared" si="2"/>
        <v>40.348368377777781</v>
      </c>
      <c r="AI30" s="136">
        <f>Wing!D143</f>
        <v>9.8498311489501269</v>
      </c>
      <c r="AJ30" s="136">
        <f>Wing!E143</f>
        <v>0.17266900371828517</v>
      </c>
      <c r="AL30" s="136">
        <f>Wing!M143</f>
        <v>9.8498311489501269</v>
      </c>
      <c r="AM30" s="136">
        <f>Wing!N143</f>
        <v>2.4284017900386059E-2</v>
      </c>
    </row>
    <row r="31" spans="2:39" x14ac:dyDescent="0.25">
      <c r="B31">
        <v>4.2720000000000001E-2</v>
      </c>
      <c r="C31">
        <v>5.491E-2</v>
      </c>
      <c r="E31" s="68">
        <f t="shared" si="0"/>
        <v>1.1601304266666663</v>
      </c>
      <c r="F31" s="68">
        <f t="shared" si="0"/>
        <v>1.4911695161111105</v>
      </c>
      <c r="I31">
        <f t="shared" si="1"/>
        <v>1.4838372311111105</v>
      </c>
      <c r="L31" s="70" t="str">
        <f>'External layout'!A29</f>
        <v xml:space="preserve">Span: </v>
      </c>
      <c r="M31" s="70">
        <f>'External layout'!B29</f>
        <v>0.66978997471686152</v>
      </c>
      <c r="N31" s="70">
        <f>'External layout'!C29</f>
        <v>0</v>
      </c>
      <c r="Z31">
        <v>22.112813729444436</v>
      </c>
      <c r="AA31">
        <v>1.0550343416666663</v>
      </c>
      <c r="AC31" s="515">
        <f>(Table1[[#This Row],[x]]+($M$14-$M$6)*100)*10</f>
        <v>431.829932770261</v>
      </c>
      <c r="AD31" s="321">
        <f t="shared" si="2"/>
        <v>37.923283005555561</v>
      </c>
      <c r="AI31" s="136">
        <f>Wing!D144</f>
        <v>10.137541544619419</v>
      </c>
      <c r="AJ31" s="136">
        <f>Wing!E144</f>
        <v>0.11076476027996496</v>
      </c>
      <c r="AL31" s="136">
        <f>Wing!M144</f>
        <v>10.137541544619419</v>
      </c>
      <c r="AM31" s="136">
        <f>Wing!N144</f>
        <v>2.2312960797212282E-2</v>
      </c>
    </row>
    <row r="32" spans="2:39" x14ac:dyDescent="0.25">
      <c r="B32">
        <v>2.6499999999999999E-2</v>
      </c>
      <c r="C32">
        <v>4.2999999999999997E-2</v>
      </c>
      <c r="E32" s="68">
        <f t="shared" si="0"/>
        <v>0.71965019444444411</v>
      </c>
      <c r="F32" s="68">
        <f t="shared" si="0"/>
        <v>1.1677342777777773</v>
      </c>
      <c r="I32">
        <f t="shared" si="1"/>
        <v>1.1677342777777773</v>
      </c>
      <c r="L32" s="70" t="str">
        <f>'External layout'!A30</f>
        <v xml:space="preserve">Airfoil: </v>
      </c>
      <c r="M32" s="70" t="str">
        <f>'External layout'!B30</f>
        <v>NACA0006</v>
      </c>
      <c r="N32" s="70">
        <f>'External layout'!C30</f>
        <v>0</v>
      </c>
      <c r="Z32">
        <v>23.186586132777769</v>
      </c>
      <c r="AA32">
        <v>0.82800507277777746</v>
      </c>
      <c r="AC32" s="515">
        <f>(Table1[[#This Row],[x]]+($M$14-$M$6)*100)*10</f>
        <v>442.56765680359433</v>
      </c>
      <c r="AD32" s="321">
        <f t="shared" si="2"/>
        <v>35.652990316666674</v>
      </c>
      <c r="AI32" s="136">
        <f>Wing!D145</f>
        <v>10.371259465441815</v>
      </c>
      <c r="AJ32" s="136">
        <f>Wing!E145</f>
        <v>6.1048917104111963E-2</v>
      </c>
      <c r="AL32" s="136">
        <f>Wing!M145</f>
        <v>10.371259465441815</v>
      </c>
      <c r="AM32" s="136">
        <f>Wing!N145</f>
        <v>1.6812616471144574E-2</v>
      </c>
    </row>
    <row r="33" spans="2:39" x14ac:dyDescent="0.25">
      <c r="B33">
        <v>1.41E-2</v>
      </c>
      <c r="C33">
        <v>3.0810000000000001E-2</v>
      </c>
      <c r="E33" s="68">
        <f t="shared" si="0"/>
        <v>0.38290821666666652</v>
      </c>
      <c r="F33" s="68">
        <f t="shared" si="0"/>
        <v>0.83669518833333301</v>
      </c>
      <c r="I33">
        <f t="shared" si="1"/>
        <v>0.83669518833333301</v>
      </c>
      <c r="L33" s="70" t="str">
        <f>'External layout'!A31</f>
        <v xml:space="preserve">Incidence: </v>
      </c>
      <c r="M33" s="70">
        <f>'External layout'!B31</f>
        <v>-0.58393031865523626</v>
      </c>
      <c r="N33" s="70">
        <f>'External layout'!C31</f>
        <v>0</v>
      </c>
      <c r="Z33">
        <v>24.160422207222211</v>
      </c>
      <c r="AA33">
        <v>0.62161482833333315</v>
      </c>
      <c r="AC33" s="515">
        <f>(Table1[[#This Row],[x]]+($M$14-$M$6)*100)*10</f>
        <v>452.30601754803871</v>
      </c>
      <c r="AD33" s="321">
        <f t="shared" si="2"/>
        <v>33.58908787222223</v>
      </c>
      <c r="AI33" s="136">
        <f>Wing!D146</f>
        <v>10.545532206036741</v>
      </c>
      <c r="AJ33" s="136">
        <f>Wing!E146</f>
        <v>2.5873621609798763E-2</v>
      </c>
      <c r="AL33" s="136">
        <f>Wing!M146</f>
        <v>10.545532206036741</v>
      </c>
      <c r="AM33" s="136">
        <f>Wing!N146</f>
        <v>9.5656634938379621E-3</v>
      </c>
    </row>
    <row r="34" spans="2:39" x14ac:dyDescent="0.25">
      <c r="B34">
        <v>5.62E-3</v>
      </c>
      <c r="C34">
        <v>1.8710000000000001E-2</v>
      </c>
      <c r="E34" s="68">
        <f t="shared" si="0"/>
        <v>0.15262015444444438</v>
      </c>
      <c r="F34" s="68">
        <f t="shared" si="0"/>
        <v>0.50810019388888872</v>
      </c>
      <c r="I34">
        <f t="shared" si="1"/>
        <v>0.50810019388888872</v>
      </c>
      <c r="L34" s="70" t="str">
        <f>'External layout'!A32</f>
        <v xml:space="preserve">Elevator_span_start: </v>
      </c>
      <c r="M34" s="70">
        <f>'External layout'!B32</f>
        <v>0</v>
      </c>
      <c r="N34" s="70">
        <f>'External layout'!C32</f>
        <v>0</v>
      </c>
      <c r="Z34">
        <v>25.018571118333323</v>
      </c>
      <c r="AA34">
        <v>0.43857926944444431</v>
      </c>
      <c r="AC34" s="515">
        <f>(Table1[[#This Row],[x]]+($M$14-$M$6)*100)*10</f>
        <v>460.88750665914984</v>
      </c>
      <c r="AD34" s="321">
        <f t="shared" si="2"/>
        <v>31.758732283333341</v>
      </c>
      <c r="AI34" s="136">
        <f>Wing!D147</f>
        <v>10.654372482064737</v>
      </c>
      <c r="AJ34" s="136">
        <f>Wing!E147</f>
        <v>6.0942001312335936E-3</v>
      </c>
      <c r="AL34" s="136">
        <f>Wing!M147</f>
        <v>10.654372482064737</v>
      </c>
      <c r="AM34" s="136">
        <f>Wing!N147</f>
        <v>2.837936636353676E-3</v>
      </c>
    </row>
    <row r="35" spans="2:39" x14ac:dyDescent="0.25">
      <c r="B35">
        <v>1.0300000000000001E-3</v>
      </c>
      <c r="C35">
        <v>7.11E-3</v>
      </c>
      <c r="E35" s="68">
        <f t="shared" si="0"/>
        <v>2.7971309444444436E-2</v>
      </c>
      <c r="F35" s="68">
        <f t="shared" si="0"/>
        <v>0.19308350499999993</v>
      </c>
      <c r="I35">
        <f t="shared" si="1"/>
        <v>0.19308350499999993</v>
      </c>
      <c r="L35" s="70" t="str">
        <f>'External layout'!A33</f>
        <v xml:space="preserve">Elevator_span_end: </v>
      </c>
      <c r="M35" s="70">
        <f>'External layout'!B33</f>
        <v>1</v>
      </c>
      <c r="N35" s="70">
        <f>'External layout'!C33</f>
        <v>0</v>
      </c>
      <c r="Z35">
        <v>25.749355523333325</v>
      </c>
      <c r="AA35">
        <v>0.28134249111111098</v>
      </c>
      <c r="AC35" s="515">
        <f>(Table1[[#This Row],[x]]+($M$14-$M$6)*100)*10</f>
        <v>468.19535070914986</v>
      </c>
      <c r="AD35" s="321">
        <f t="shared" si="2"/>
        <v>30.186364500000007</v>
      </c>
      <c r="AI35" s="136">
        <f>Wing!D148</f>
        <v>10.691579177602796</v>
      </c>
      <c r="AJ35" s="136">
        <f>Wing!E148</f>
        <v>0</v>
      </c>
      <c r="AL35" s="136">
        <f>Wing!M148</f>
        <v>10.691579177602796</v>
      </c>
      <c r="AM35" s="136">
        <f>Wing!N148</f>
        <v>0</v>
      </c>
    </row>
    <row r="36" spans="2:39" x14ac:dyDescent="0.25">
      <c r="B36">
        <v>0</v>
      </c>
      <c r="C36">
        <v>0</v>
      </c>
      <c r="E36" s="68">
        <f t="shared" si="0"/>
        <v>0</v>
      </c>
      <c r="F36" s="68">
        <f t="shared" si="0"/>
        <v>0</v>
      </c>
      <c r="L36" s="70" t="str">
        <f>'External layout'!A34</f>
        <v xml:space="preserve">Elevator_choord_ratio: </v>
      </c>
      <c r="M36" s="70">
        <f>'External layout'!B34</f>
        <v>0.20776646122007825</v>
      </c>
      <c r="N36" s="70">
        <f>'External layout'!C34</f>
        <v>0</v>
      </c>
      <c r="Z36">
        <v>26.342999042222214</v>
      </c>
      <c r="AA36">
        <v>0.15506424944444439</v>
      </c>
      <c r="AC36" s="515">
        <f>(Table1[[#This Row],[x]]+($M$14-$M$6)*100)*10</f>
        <v>474.13178589803874</v>
      </c>
      <c r="AD36" s="321">
        <f t="shared" si="2"/>
        <v>28.923582083333343</v>
      </c>
      <c r="AI36" s="136"/>
      <c r="AJ36" s="136"/>
    </row>
    <row r="37" spans="2:39" x14ac:dyDescent="0.25">
      <c r="B37">
        <v>2.7E-4</v>
      </c>
      <c r="C37">
        <v>-3.2699999999999999E-3</v>
      </c>
      <c r="E37" s="69">
        <f t="shared" ref="E37:E65" si="3">$A$4*B37</f>
        <v>7.3322849999999974E-3</v>
      </c>
      <c r="F37" s="69">
        <f t="shared" ref="F37:F65" si="4">$A$4*C37</f>
        <v>-8.8802118333333291E-2</v>
      </c>
      <c r="L37" s="70" t="str">
        <f>'External layout'!A35</f>
        <v xml:space="preserve">Elevator_angle_maxup: </v>
      </c>
      <c r="M37" s="70">
        <f>'External layout'!B35</f>
        <v>-25</v>
      </c>
      <c r="N37" s="70">
        <f>'External layout'!C35</f>
        <v>0</v>
      </c>
      <c r="Z37">
        <v>26.785651803333323</v>
      </c>
      <c r="AA37">
        <v>6.5718998888888866E-2</v>
      </c>
      <c r="AC37" s="515">
        <f>(Table1[[#This Row],[x]]+($M$14-$M$6)*100)*10</f>
        <v>478.5583135091498</v>
      </c>
      <c r="AD37" s="321">
        <f t="shared" si="2"/>
        <v>28.030129577777785</v>
      </c>
      <c r="AH37" t="s">
        <v>1847</v>
      </c>
      <c r="AI37" s="320" t="s">
        <v>1837</v>
      </c>
      <c r="AJ37" s="320" t="s">
        <v>1838</v>
      </c>
      <c r="AL37" s="136" t="s">
        <v>1837</v>
      </c>
      <c r="AM37" s="136" t="s">
        <v>1838</v>
      </c>
    </row>
    <row r="38" spans="2:39" x14ac:dyDescent="0.25">
      <c r="B38">
        <v>4.2500000000000003E-3</v>
      </c>
      <c r="C38">
        <v>-1.115E-2</v>
      </c>
      <c r="E38" s="69">
        <f t="shared" si="3"/>
        <v>0.11541559722222218</v>
      </c>
      <c r="F38" s="69">
        <f t="shared" si="4"/>
        <v>-0.30279621388888878</v>
      </c>
      <c r="L38" s="70" t="str">
        <f>'External layout'!A36</f>
        <v xml:space="preserve">Elevator_angle_maxdown: </v>
      </c>
      <c r="M38" s="70">
        <f>'External layout'!B36</f>
        <v>2</v>
      </c>
      <c r="N38" s="70">
        <f>'External layout'!C36</f>
        <v>0</v>
      </c>
      <c r="Z38">
        <v>27.062106104444432</v>
      </c>
      <c r="AA38">
        <v>1.5479268333333327E-2</v>
      </c>
      <c r="AC38" s="515">
        <f>(Table1[[#This Row],[x]]+($M$14-$M$6)*100)*10</f>
        <v>481.32285652026098</v>
      </c>
      <c r="AD38" s="321">
        <f t="shared" si="2"/>
        <v>27.527732272222231</v>
      </c>
      <c r="AI38" s="320">
        <f>AI3*Wing!$T$2</f>
        <v>0</v>
      </c>
      <c r="AJ38" s="320">
        <f>AJ3*Wing!$T$2</f>
        <v>0</v>
      </c>
      <c r="AK38" s="136"/>
      <c r="AL38" s="136">
        <f>AL3*Wing!$T$2</f>
        <v>0</v>
      </c>
      <c r="AM38" s="136">
        <f>AM3*Wing!$T$2</f>
        <v>0</v>
      </c>
    </row>
    <row r="39" spans="2:39" x14ac:dyDescent="0.25">
      <c r="B39">
        <v>1.414E-2</v>
      </c>
      <c r="C39">
        <v>-1.7010000000000001E-2</v>
      </c>
      <c r="E39" s="69">
        <f t="shared" si="3"/>
        <v>0.38399448111111095</v>
      </c>
      <c r="F39" s="69">
        <f t="shared" si="4"/>
        <v>-0.46193395499999984</v>
      </c>
      <c r="L39" s="70">
        <f>'External layout'!A37</f>
        <v>0</v>
      </c>
      <c r="M39" s="70">
        <f>'External layout'!B37</f>
        <v>0</v>
      </c>
      <c r="N39" s="70">
        <f>'External layout'!C37</f>
        <v>0</v>
      </c>
      <c r="Z39">
        <v>27.156611111111101</v>
      </c>
      <c r="AA39">
        <v>0</v>
      </c>
      <c r="AC39" s="515">
        <f>(Table1[[#This Row],[x]]+($M$14-$M$6)*100)*10</f>
        <v>482.26790658692767</v>
      </c>
      <c r="AD39" s="321">
        <f t="shared" si="2"/>
        <v>27.372939588888897</v>
      </c>
      <c r="AI39" s="320">
        <f>AI4*Wing!$T$2</f>
        <v>2.7971309444444439E-2</v>
      </c>
      <c r="AJ39" s="320">
        <f>AJ4*Wing!$T$2</f>
        <v>0.19308350499999993</v>
      </c>
      <c r="AL39" s="136">
        <f>AL4*Wing!$T$2</f>
        <v>2.7971309444444439E-2</v>
      </c>
      <c r="AM39" s="136">
        <f>AM4*Wing!$T$2</f>
        <v>-7.3383553013071867E-2</v>
      </c>
    </row>
    <row r="40" spans="2:39" x14ac:dyDescent="0.25">
      <c r="B40">
        <v>2.9909999999999999E-2</v>
      </c>
      <c r="C40">
        <v>-2.205E-2</v>
      </c>
      <c r="E40" s="69">
        <f t="shared" si="3"/>
        <v>0.81225423833333299</v>
      </c>
      <c r="F40" s="69">
        <f t="shared" si="4"/>
        <v>-0.59880327499999975</v>
      </c>
      <c r="L40" s="70">
        <f>'External layout'!A38</f>
        <v>0</v>
      </c>
      <c r="M40" s="70">
        <f>'External layout'!B38</f>
        <v>0</v>
      </c>
      <c r="N40" s="70">
        <f>'External layout'!C38</f>
        <v>0</v>
      </c>
      <c r="AC40">
        <f>(Z43+1*Wing!$T$2)*10</f>
        <v>287.40157051039995</v>
      </c>
      <c r="AD40">
        <f>(AA43+(5.6827-$AF$2))*10</f>
        <v>27.442727261225798</v>
      </c>
      <c r="AI40" s="320">
        <f>AI5*Wing!$T$2</f>
        <v>0.15262015444444438</v>
      </c>
      <c r="AJ40" s="320">
        <f>AJ5*Wing!$T$2</f>
        <v>0.50810019388888872</v>
      </c>
      <c r="AL40" s="136">
        <f>AL5*Wing!$T$2</f>
        <v>0.15262015444444438</v>
      </c>
      <c r="AM40" s="136">
        <f>AM5*Wing!$T$2</f>
        <v>-0.32484057236434094</v>
      </c>
    </row>
    <row r="41" spans="2:39" x14ac:dyDescent="0.25">
      <c r="B41">
        <v>5.0990000000000001E-2</v>
      </c>
      <c r="C41">
        <v>-2.623E-2</v>
      </c>
      <c r="E41" s="69">
        <f t="shared" si="3"/>
        <v>1.384715600555555</v>
      </c>
      <c r="F41" s="69">
        <f t="shared" si="4"/>
        <v>-0.71231790944444418</v>
      </c>
      <c r="L41" s="70" t="str">
        <f>'External layout'!A39</f>
        <v>VSTAB</v>
      </c>
      <c r="M41" s="70">
        <f>'External layout'!B39</f>
        <v>0</v>
      </c>
      <c r="N41" s="70">
        <f>'External layout'!C39</f>
        <v>0</v>
      </c>
      <c r="Z41" t="s">
        <v>1837</v>
      </c>
      <c r="AA41" t="s">
        <v>1838</v>
      </c>
      <c r="AC41">
        <f>(Z44+1*Wing!$T$2)*10</f>
        <v>284.72508033679992</v>
      </c>
      <c r="AD41">
        <f t="shared" ref="AD41:AD71" si="5">(AA44+(5.6827-$AF$2))*10</f>
        <v>27.608168727214824</v>
      </c>
      <c r="AI41" s="320">
        <f>AI6*Wing!$T$2</f>
        <v>0.38290821666666652</v>
      </c>
      <c r="AJ41" s="320">
        <f>AJ6*Wing!$T$2</f>
        <v>0.83669518833333301</v>
      </c>
      <c r="AL41" s="136">
        <f>AL6*Wing!$T$2</f>
        <v>0.38290821666666652</v>
      </c>
      <c r="AM41" s="136">
        <f>AM6*Wing!$T$2</f>
        <v>-0.46158679122067203</v>
      </c>
    </row>
    <row r="42" spans="2:39" x14ac:dyDescent="0.25">
      <c r="B42">
        <v>7.7100000000000002E-2</v>
      </c>
      <c r="C42">
        <v>-2.9479999999999999E-2</v>
      </c>
      <c r="E42" s="69">
        <f t="shared" si="3"/>
        <v>2.0937747166666658</v>
      </c>
      <c r="F42" s="69">
        <f t="shared" si="4"/>
        <v>-0.80057689555555522</v>
      </c>
      <c r="L42" s="70" t="str">
        <f>'External layout'!A40</f>
        <v xml:space="preserve">x_LE: </v>
      </c>
      <c r="M42" s="70">
        <f>'External layout'!B40</f>
        <v>1.2112602235682557</v>
      </c>
      <c r="N42" s="70">
        <f>'External layout'!C40</f>
        <v>0</v>
      </c>
      <c r="Z42">
        <v>26.291651999999999</v>
      </c>
      <c r="AA42">
        <v>0</v>
      </c>
      <c r="AC42">
        <f>(Z45+1*Wing!$T$2)*10</f>
        <v>280.43954106079997</v>
      </c>
      <c r="AD42">
        <f t="shared" si="5"/>
        <v>27.786378477687279</v>
      </c>
      <c r="AI42" s="320">
        <f>AI7*Wing!$T$2</f>
        <v>0.71965019444444422</v>
      </c>
      <c r="AJ42" s="320">
        <f>AJ7*Wing!$T$2</f>
        <v>1.1677342777777773</v>
      </c>
      <c r="AL42" s="136">
        <f>AL7*Wing!$T$2</f>
        <v>0.71965019444444422</v>
      </c>
      <c r="AM42" s="136">
        <f>AM7*Wing!$T$2</f>
        <v>-0.58044061354575138</v>
      </c>
    </row>
    <row r="43" spans="2:39" x14ac:dyDescent="0.25">
      <c r="B43">
        <v>0.10798000000000001</v>
      </c>
      <c r="C43">
        <v>-3.1789999999999999E-2</v>
      </c>
      <c r="E43" s="69">
        <f t="shared" si="3"/>
        <v>2.9323708677777769</v>
      </c>
      <c r="F43" s="69">
        <f t="shared" si="4"/>
        <v>-0.86330866722222188</v>
      </c>
      <c r="L43" s="70" t="str">
        <f>'External layout'!A41</f>
        <v xml:space="preserve">x_AC: </v>
      </c>
      <c r="M43" s="70">
        <f>'External layout'!B41</f>
        <v>1.248702621421125</v>
      </c>
      <c r="N43" s="70">
        <f>'External layout'!C41</f>
        <v>0</v>
      </c>
      <c r="Z43">
        <v>26.200157051039998</v>
      </c>
      <c r="AA43">
        <v>6.9787672336902246E-3</v>
      </c>
      <c r="AC43">
        <f>(Z46+1*Wing!$T$2)*10</f>
        <v>274.69218593359994</v>
      </c>
      <c r="AD43">
        <f t="shared" si="5"/>
        <v>27.921637391734411</v>
      </c>
      <c r="AI43" s="320">
        <f>AI8*Wing!$T$2</f>
        <v>1.1601304266666661</v>
      </c>
      <c r="AJ43" s="320">
        <f>AJ8*Wing!$T$2</f>
        <v>1.4911695161111107</v>
      </c>
      <c r="AL43" s="136">
        <f>AL8*Wing!$T$2</f>
        <v>1.1601304266666661</v>
      </c>
      <c r="AM43" s="136">
        <f>AM8*Wing!$T$2</f>
        <v>-0.68436303333801418</v>
      </c>
    </row>
    <row r="44" spans="2:39" x14ac:dyDescent="0.25">
      <c r="B44">
        <v>0.14327999999999999</v>
      </c>
      <c r="C44">
        <v>-3.3189999999999997E-2</v>
      </c>
      <c r="E44" s="69">
        <f t="shared" si="3"/>
        <v>3.8909992399999984</v>
      </c>
      <c r="F44" s="69">
        <f t="shared" si="4"/>
        <v>-0.9013279227777774</v>
      </c>
      <c r="L44" s="70" t="str">
        <f>'External layout'!A42</f>
        <v xml:space="preserve">z_AC: </v>
      </c>
      <c r="M44" s="70">
        <f>'External layout'!B42</f>
        <v>2.3800000000000002E-2</v>
      </c>
      <c r="N44" s="70">
        <f>'External layout'!C42</f>
        <v>0</v>
      </c>
      <c r="Z44">
        <v>25.932508033679994</v>
      </c>
      <c r="AA44">
        <v>2.3522913832592644E-2</v>
      </c>
      <c r="AC44">
        <f>(Z47+1*Wing!$T$2)*10</f>
        <v>267.61710238039996</v>
      </c>
      <c r="AD44">
        <f t="shared" si="5"/>
        <v>27.970107637867304</v>
      </c>
      <c r="AI44" s="320">
        <f>AI9*Wing!$T$2</f>
        <v>1.7024479505555548</v>
      </c>
      <c r="AJ44" s="320">
        <f>AJ9*Wing!$T$2</f>
        <v>1.7966813911111104</v>
      </c>
      <c r="AL44" s="136">
        <f>AL9*Wing!$T$2</f>
        <v>1.7024479505555548</v>
      </c>
      <c r="AM44" s="136">
        <f>AM9*Wing!$T$2</f>
        <v>-0.77130342309063726</v>
      </c>
    </row>
    <row r="45" spans="2:39" x14ac:dyDescent="0.25">
      <c r="B45">
        <v>0.18265000000000001</v>
      </c>
      <c r="C45">
        <v>-3.3669999999999999E-2</v>
      </c>
      <c r="E45" s="69">
        <f t="shared" si="3"/>
        <v>4.9601550194444428</v>
      </c>
      <c r="F45" s="69">
        <f t="shared" si="4"/>
        <v>-0.91436309611111066</v>
      </c>
      <c r="L45" s="70" t="str">
        <f>'External layout'!A43</f>
        <v xml:space="preserve">Chord root: </v>
      </c>
      <c r="M45" s="70">
        <f>'External layout'!B43</f>
        <v>0.14976959141147678</v>
      </c>
      <c r="N45" s="70">
        <f>'External layout'!C43</f>
        <v>0</v>
      </c>
      <c r="Z45">
        <v>25.503954106079998</v>
      </c>
      <c r="AA45">
        <v>4.1343888879837996E-2</v>
      </c>
      <c r="AC45">
        <f>(Z48+1*Wing!$T$2)*10</f>
        <v>259.30894034839991</v>
      </c>
      <c r="AD45">
        <f t="shared" si="5"/>
        <v>27.899526273118099</v>
      </c>
      <c r="AI45" s="320">
        <f>AI10*Wing!$T$2</f>
        <v>2.3455165016666659</v>
      </c>
      <c r="AJ45" s="320">
        <f>AJ10*Wing!$T$2</f>
        <v>2.0766660516666655</v>
      </c>
      <c r="AL45" s="136">
        <f>AL10*Wing!$T$2</f>
        <v>2.3455165016666659</v>
      </c>
      <c r="AM45" s="136">
        <f>AM10*Wing!$T$2</f>
        <v>-0.84003398981271615</v>
      </c>
    </row>
    <row r="46" spans="2:39" x14ac:dyDescent="0.25">
      <c r="B46">
        <v>0.22570000000000001</v>
      </c>
      <c r="C46">
        <v>-3.3270000000000001E-2</v>
      </c>
      <c r="E46" s="69">
        <f t="shared" si="3"/>
        <v>6.1292471277777754</v>
      </c>
      <c r="F46" s="69">
        <f t="shared" si="4"/>
        <v>-0.90350045166666637</v>
      </c>
      <c r="L46" s="70" t="str">
        <f>'External layout'!A44</f>
        <v xml:space="preserve">Chord tip: </v>
      </c>
      <c r="M46" s="70">
        <f>'External layout'!B44</f>
        <v>0.11981567312918143</v>
      </c>
      <c r="N46" s="70">
        <f>'External layout'!C44</f>
        <v>0</v>
      </c>
      <c r="Z46">
        <v>24.929218593359998</v>
      </c>
      <c r="AA46">
        <v>5.4869780284551167E-2</v>
      </c>
      <c r="AC46">
        <f>(Z49+1*Wing!$T$2)*10</f>
        <v>249.88075394119994</v>
      </c>
      <c r="AD46">
        <f t="shared" si="5"/>
        <v>27.789709329170602</v>
      </c>
      <c r="AI46" s="320">
        <f>AI11*Wing!$T$2</f>
        <v>3.0858057205555545</v>
      </c>
      <c r="AJ46" s="320">
        <f>AJ11*Wing!$T$2</f>
        <v>2.3251490433333326</v>
      </c>
      <c r="AL46" s="136">
        <f>AL11*Wing!$T$2</f>
        <v>3.0858057205555545</v>
      </c>
      <c r="AM46" s="136">
        <f>AM11*Wing!$T$2</f>
        <v>-0.89151098375483262</v>
      </c>
    </row>
    <row r="47" spans="2:39" x14ac:dyDescent="0.25">
      <c r="B47">
        <v>0.27199000000000001</v>
      </c>
      <c r="C47">
        <v>-3.2059999999999998E-2</v>
      </c>
      <c r="E47" s="69">
        <f t="shared" si="3"/>
        <v>7.3863266561111089</v>
      </c>
      <c r="F47" s="69">
        <f t="shared" si="4"/>
        <v>-0.87064095222222182</v>
      </c>
      <c r="L47" s="70" t="str">
        <f>'External layout'!A45</f>
        <v xml:space="preserve">Span: </v>
      </c>
      <c r="M47" s="70">
        <f>'External layout'!B45</f>
        <v>0.22465438711721517</v>
      </c>
      <c r="N47" s="70">
        <f>'External layout'!C45</f>
        <v>0</v>
      </c>
      <c r="Z47">
        <v>24.221710238039996</v>
      </c>
      <c r="AA47">
        <v>5.9716804897840564E-2</v>
      </c>
      <c r="AC47">
        <f>(Z50+1*Wing!$T$2)*10</f>
        <v>239.48503474039995</v>
      </c>
      <c r="AD47">
        <f t="shared" si="5"/>
        <v>27.430186906005662</v>
      </c>
      <c r="AI47" s="320">
        <f>AI12*Wing!$T$2</f>
        <v>3.9192421155555541</v>
      </c>
      <c r="AJ47" s="320">
        <f>AJ12*Wing!$T$2</f>
        <v>2.5364274777777767</v>
      </c>
      <c r="AL47" s="136">
        <f>AL12*Wing!$T$2</f>
        <v>3.9192421155555541</v>
      </c>
      <c r="AM47" s="136">
        <f>AM12*Wing!$T$2</f>
        <v>-0.92403476072331869</v>
      </c>
    </row>
    <row r="48" spans="2:39" x14ac:dyDescent="0.25">
      <c r="B48">
        <v>0.32105</v>
      </c>
      <c r="C48">
        <v>-3.0099999999999998E-2</v>
      </c>
      <c r="E48" s="69">
        <f t="shared" si="3"/>
        <v>8.7186299972222194</v>
      </c>
      <c r="F48" s="69">
        <f t="shared" si="4"/>
        <v>-0.81741399444444407</v>
      </c>
      <c r="L48" s="70" t="str">
        <f>'External layout'!A46</f>
        <v xml:space="preserve">Airfoil: </v>
      </c>
      <c r="M48" s="70" t="str">
        <f>'External layout'!B46</f>
        <v>NACA0006</v>
      </c>
      <c r="N48" s="70">
        <f>'External layout'!C46</f>
        <v>0</v>
      </c>
      <c r="Z48">
        <v>23.390894034839995</v>
      </c>
      <c r="AA48">
        <v>5.265866842292044E-2</v>
      </c>
      <c r="AC48">
        <f>(Z51+1*Wing!$T$2)*10</f>
        <v>228.2821618232</v>
      </c>
      <c r="AD48">
        <f t="shared" si="5"/>
        <v>26.929834806559189</v>
      </c>
      <c r="AI48" s="320">
        <f>AI13*Wing!$T$2</f>
        <v>4.8406659305555539</v>
      </c>
      <c r="AJ48" s="320">
        <f>AJ13*Wing!$T$2</f>
        <v>2.7061562972222215</v>
      </c>
      <c r="AL48" s="136">
        <f>AL13*Wing!$T$2</f>
        <v>4.8406659305555539</v>
      </c>
      <c r="AM48" s="136">
        <f>AM13*Wing!$T$2</f>
        <v>-0.9371833907169772</v>
      </c>
    </row>
    <row r="49" spans="2:39" x14ac:dyDescent="0.25">
      <c r="B49">
        <v>0.37237999999999999</v>
      </c>
      <c r="C49">
        <v>-2.7470000000000001E-2</v>
      </c>
      <c r="E49" s="69">
        <f t="shared" si="3"/>
        <v>10.112578845555552</v>
      </c>
      <c r="F49" s="69">
        <f t="shared" si="4"/>
        <v>-0.74599210722222198</v>
      </c>
      <c r="L49" s="70" t="str">
        <f>'External layout'!A47</f>
        <v xml:space="preserve">Rudder_span_start: </v>
      </c>
      <c r="M49" s="70">
        <f>'External layout'!B47</f>
        <v>0</v>
      </c>
      <c r="N49" s="70">
        <f>'External layout'!C47</f>
        <v>0</v>
      </c>
      <c r="Z49">
        <v>22.448075394119996</v>
      </c>
      <c r="AA49">
        <v>4.1676974028170478E-2</v>
      </c>
      <c r="AC49">
        <f>(Z52+1*Wing!$T$2)*10</f>
        <v>216.44040176239997</v>
      </c>
      <c r="AD49">
        <f t="shared" si="5"/>
        <v>26.302173219376851</v>
      </c>
      <c r="AI49" s="320">
        <f>AI14*Wing!$T$2</f>
        <v>5.8443742772222205</v>
      </c>
      <c r="AJ49" s="320">
        <f>AJ14*Wing!$T$2</f>
        <v>2.8318914066666658</v>
      </c>
      <c r="AL49" s="136">
        <f>AL14*Wing!$T$2</f>
        <v>5.8443742772222205</v>
      </c>
      <c r="AM49" s="136">
        <f>AM14*Wing!$T$2</f>
        <v>-0.93224361554513702</v>
      </c>
    </row>
    <row r="50" spans="2:39" x14ac:dyDescent="0.25">
      <c r="B50">
        <v>0.42547000000000001</v>
      </c>
      <c r="C50">
        <v>-2.426E-2</v>
      </c>
      <c r="E50" s="69">
        <f t="shared" si="3"/>
        <v>11.55432332944444</v>
      </c>
      <c r="F50" s="69">
        <f t="shared" si="4"/>
        <v>-0.6588193855555553</v>
      </c>
      <c r="L50" s="70" t="str">
        <f>'External layout'!A48</f>
        <v xml:space="preserve">Rudder_span_end: </v>
      </c>
      <c r="M50" s="70">
        <f>'External layout'!B48</f>
        <v>1</v>
      </c>
      <c r="N50" s="70">
        <f>'External layout'!C48</f>
        <v>0</v>
      </c>
      <c r="Z50">
        <v>21.408503474039996</v>
      </c>
      <c r="AA50">
        <v>5.7247317116766207E-3</v>
      </c>
      <c r="AC50">
        <f>(Z53+1*Wing!$T$2)*10</f>
        <v>204.11224613959996</v>
      </c>
      <c r="AD50">
        <f t="shared" si="5"/>
        <v>25.559197855403792</v>
      </c>
      <c r="AI50" s="320">
        <f>AI15*Wing!$T$2</f>
        <v>6.9238495688888868</v>
      </c>
      <c r="AJ50" s="320">
        <f>AJ15*Wing!$T$2</f>
        <v>2.9117318433333321</v>
      </c>
      <c r="AL50" s="136">
        <f>AL15*Wing!$T$2</f>
        <v>6.9238495688888868</v>
      </c>
      <c r="AM50" s="136">
        <f>AM15*Wing!$T$2</f>
        <v>-0.88911741147529055</v>
      </c>
    </row>
    <row r="51" spans="2:39" x14ac:dyDescent="0.25">
      <c r="B51">
        <v>0.47978999999999999</v>
      </c>
      <c r="C51">
        <v>-2.0639999999999999E-2</v>
      </c>
      <c r="E51" s="69">
        <f t="shared" si="3"/>
        <v>13.029470444999994</v>
      </c>
      <c r="F51" s="69">
        <f t="shared" si="4"/>
        <v>-0.5605124533333331</v>
      </c>
      <c r="L51" s="70" t="str">
        <f>'External layout'!A49</f>
        <v xml:space="preserve">Rudder_choord_ratio: </v>
      </c>
      <c r="M51" s="70">
        <f>'External layout'!B49</f>
        <v>0.25</v>
      </c>
      <c r="N51" s="70">
        <f>'External layout'!C49</f>
        <v>0</v>
      </c>
      <c r="Z51">
        <v>20.288216182319999</v>
      </c>
      <c r="AA51">
        <v>-4.431047823297083E-2</v>
      </c>
      <c r="AC51">
        <f>(Z54+1*Wing!$T$2)*10</f>
        <v>191.44229904079995</v>
      </c>
      <c r="AD51">
        <f t="shared" si="5"/>
        <v>24.728329969603816</v>
      </c>
      <c r="AI51" s="320">
        <f>AI16*Wing!$T$2</f>
        <v>8.07094482222222</v>
      </c>
      <c r="AJ51" s="320">
        <f>AJ16*Wing!$T$2</f>
        <v>2.9454060411111098</v>
      </c>
      <c r="AL51" s="136">
        <f>AL16*Wing!$T$2</f>
        <v>8.07094482222222</v>
      </c>
      <c r="AM51" s="136">
        <f>AM16*Wing!$T$2</f>
        <v>-0.85059950019644093</v>
      </c>
    </row>
    <row r="52" spans="2:39" x14ac:dyDescent="0.25">
      <c r="B52">
        <v>0.53476999999999997</v>
      </c>
      <c r="C52">
        <v>-1.6799999999999999E-2</v>
      </c>
      <c r="E52" s="69">
        <f t="shared" si="3"/>
        <v>14.522540923888883</v>
      </c>
      <c r="F52" s="69">
        <f t="shared" si="4"/>
        <v>-0.45623106666666646</v>
      </c>
      <c r="L52" s="70" t="str">
        <f>'External layout'!A50</f>
        <v xml:space="preserve">Rudder_angle_maxup: </v>
      </c>
      <c r="M52" s="70">
        <f>'External layout'!B50</f>
        <v>20</v>
      </c>
      <c r="N52" s="70">
        <f>'External layout'!C50</f>
        <v>0</v>
      </c>
      <c r="Z52">
        <v>19.104040176239998</v>
      </c>
      <c r="AA52">
        <v>-0.10707663695120478</v>
      </c>
      <c r="AC52">
        <f>(Z55+1*Wing!$T$2)*10</f>
        <v>178.55938956079999</v>
      </c>
      <c r="AD52">
        <f t="shared" si="5"/>
        <v>23.839653494943136</v>
      </c>
      <c r="AI52" s="320">
        <f>AI17*Wing!$T$2</f>
        <v>9.2764267894444412</v>
      </c>
      <c r="AJ52" s="320">
        <f>AJ17*Wing!$T$2</f>
        <v>2.9331855661111104</v>
      </c>
      <c r="AL52" s="136">
        <f>AL17*Wing!$T$2</f>
        <v>9.2764267894444412</v>
      </c>
      <c r="AM52" s="136">
        <f>AM17*Wing!$T$2</f>
        <v>-0.79654867343274494</v>
      </c>
    </row>
    <row r="53" spans="2:39" x14ac:dyDescent="0.25">
      <c r="B53">
        <v>0.58975</v>
      </c>
      <c r="C53">
        <v>-1.295E-2</v>
      </c>
      <c r="E53" s="69">
        <f t="shared" si="3"/>
        <v>16.015611402777772</v>
      </c>
      <c r="F53" s="69">
        <f t="shared" si="4"/>
        <v>-0.35167811388888875</v>
      </c>
      <c r="L53" s="70" t="str">
        <f>'External layout'!A51</f>
        <v xml:space="preserve">Rudder_angle_maxdown: </v>
      </c>
      <c r="M53" s="70">
        <f>'External layout'!B51</f>
        <v>-20</v>
      </c>
      <c r="N53" s="70">
        <f>'External layout'!C51</f>
        <v>0</v>
      </c>
      <c r="Z53">
        <v>17.871224613959996</v>
      </c>
      <c r="AA53">
        <v>-0.18137417334851078</v>
      </c>
      <c r="AC53">
        <f>(Z56+1*Wing!$T$2)*10</f>
        <v>165.59234679439999</v>
      </c>
      <c r="AD53">
        <f t="shared" si="5"/>
        <v>22.960531951458393</v>
      </c>
      <c r="AI53" s="320">
        <f>AI18*Wing!$T$2</f>
        <v>10.531062222777775</v>
      </c>
      <c r="AJ53" s="320">
        <f>AJ18*Wing!$T$2</f>
        <v>2.8764282488888879</v>
      </c>
      <c r="AL53" s="136">
        <f>AL18*Wing!$T$2</f>
        <v>10.531062222777775</v>
      </c>
      <c r="AM53" s="136">
        <f>AM18*Wing!$T$2</f>
        <v>-0.72701167580101433</v>
      </c>
    </row>
    <row r="54" spans="2:39" x14ac:dyDescent="0.25">
      <c r="B54">
        <v>0.64402999999999999</v>
      </c>
      <c r="C54">
        <v>-9.2700000000000005E-3</v>
      </c>
      <c r="E54" s="69">
        <f t="shared" si="3"/>
        <v>17.48967225388888</v>
      </c>
      <c r="F54" s="69">
        <f t="shared" si="4"/>
        <v>-0.25174178499999994</v>
      </c>
      <c r="L54" s="70">
        <f>'External layout'!A52</f>
        <v>0</v>
      </c>
      <c r="M54" s="70">
        <f>'External layout'!B52</f>
        <v>0</v>
      </c>
      <c r="N54" s="70">
        <f>'External layout'!C52</f>
        <v>0</v>
      </c>
      <c r="Z54">
        <v>16.604229904079997</v>
      </c>
      <c r="AA54">
        <v>-0.26446096192850821</v>
      </c>
      <c r="AC54">
        <f>(Z57+1*Wing!$T$2)*10</f>
        <v>152.6568540104</v>
      </c>
      <c r="AD54">
        <f t="shared" si="5"/>
        <v>22.021591351697559</v>
      </c>
      <c r="AI54" s="320">
        <f>AI19*Wing!$T$2</f>
        <v>11.823988477777773</v>
      </c>
      <c r="AJ54" s="320">
        <f>AJ19*Wing!$T$2</f>
        <v>2.7778497505555548</v>
      </c>
      <c r="AL54" s="136">
        <f>AL19*Wing!$T$2</f>
        <v>11.823988477777773</v>
      </c>
      <c r="AM54" s="136">
        <f>AM19*Wing!$T$2</f>
        <v>-0.64470762892688227</v>
      </c>
    </row>
    <row r="55" spans="2:39" x14ac:dyDescent="0.25">
      <c r="B55">
        <v>0.69691999999999998</v>
      </c>
      <c r="C55">
        <v>-5.9300000000000004E-3</v>
      </c>
      <c r="E55" s="69">
        <f t="shared" si="3"/>
        <v>18.925985415555548</v>
      </c>
      <c r="F55" s="69">
        <f t="shared" si="4"/>
        <v>-0.16103870388888883</v>
      </c>
      <c r="L55" s="70">
        <f>'External layout'!A53</f>
        <v>0</v>
      </c>
      <c r="M55" s="70">
        <f>'External layout'!B53</f>
        <v>0</v>
      </c>
      <c r="N55" s="70">
        <f>'External layout'!C53</f>
        <v>0</v>
      </c>
      <c r="Z55">
        <v>15.315938956079998</v>
      </c>
      <c r="AA55">
        <v>-0.35332860939457628</v>
      </c>
      <c r="AC55">
        <f>(Z58+1*Wing!$T$2)*10</f>
        <v>139.87385280799998</v>
      </c>
      <c r="AD55">
        <f t="shared" si="5"/>
        <v>21.131207676118876</v>
      </c>
      <c r="AI55" s="320">
        <f>AI20*Wing!$T$2</f>
        <v>13.144342909999995</v>
      </c>
      <c r="AJ55" s="320">
        <f>AJ20*Wing!$T$2</f>
        <v>2.6404372983333322</v>
      </c>
      <c r="AL55" s="136">
        <f>AL20*Wing!$T$2</f>
        <v>13.144342909999995</v>
      </c>
      <c r="AM55" s="136">
        <f>AM20*Wing!$T$2</f>
        <v>-0.55274002180439308</v>
      </c>
    </row>
    <row r="56" spans="2:39" x14ac:dyDescent="0.25">
      <c r="B56">
        <v>0.74768000000000001</v>
      </c>
      <c r="C56">
        <v>-3.0699999999999998E-3</v>
      </c>
      <c r="E56" s="69">
        <f t="shared" si="3"/>
        <v>20.304454995555549</v>
      </c>
      <c r="F56" s="69">
        <f t="shared" si="4"/>
        <v>-8.3370796111111076E-2</v>
      </c>
      <c r="Z56">
        <v>14.01923467944</v>
      </c>
      <c r="AA56">
        <v>-0.44124076374305077</v>
      </c>
      <c r="AC56">
        <f>(Z59+1*Wing!$T$2)*10</f>
        <v>127.35639729079999</v>
      </c>
      <c r="AD56">
        <f t="shared" si="5"/>
        <v>20.334381684189044</v>
      </c>
      <c r="AI56" s="320">
        <f>AI21*Wing!$T$2</f>
        <v>14.480448176666663</v>
      </c>
      <c r="AJ56" s="320">
        <f>AJ21*Wing!$T$2</f>
        <v>2.4682643838888878</v>
      </c>
      <c r="AL56" s="136">
        <f>AL21*Wing!$T$2</f>
        <v>14.480448176666663</v>
      </c>
      <c r="AM56" s="136">
        <f>AM21*Wing!$T$2</f>
        <v>-0.45575697667608239</v>
      </c>
    </row>
    <row r="57" spans="2:39" x14ac:dyDescent="0.25">
      <c r="B57">
        <v>0.79557</v>
      </c>
      <c r="C57">
        <v>-7.9000000000000001E-4</v>
      </c>
      <c r="E57" s="69">
        <f t="shared" si="3"/>
        <v>21.604985101666657</v>
      </c>
      <c r="F57" s="69">
        <f t="shared" si="4"/>
        <v>-2.1453722777777771E-2</v>
      </c>
      <c r="Z57">
        <v>12.72568540104</v>
      </c>
      <c r="AA57">
        <v>-0.53513482371913401</v>
      </c>
      <c r="AC57">
        <f>(Z60+1*Wing!$T$2)*10</f>
        <v>115.20965406679998</v>
      </c>
      <c r="AD57">
        <f t="shared" si="5"/>
        <v>19.661159780550904</v>
      </c>
      <c r="AI57" s="320">
        <f>AI22*Wing!$T$2</f>
        <v>15.81981223666666</v>
      </c>
      <c r="AJ57" s="320">
        <f>AJ22*Wing!$T$2</f>
        <v>2.2667623294444437</v>
      </c>
      <c r="AL57" s="136">
        <f>AL22*Wing!$T$2</f>
        <v>15.81981223666666</v>
      </c>
      <c r="AM57" s="136">
        <f>AM22*Wing!$T$2</f>
        <v>-0.36495263362523528</v>
      </c>
    </row>
    <row r="58" spans="2:39" x14ac:dyDescent="0.25">
      <c r="B58">
        <v>0.83989999999999998</v>
      </c>
      <c r="C58">
        <v>8.7000000000000001E-4</v>
      </c>
      <c r="E58" s="69">
        <f t="shared" si="3"/>
        <v>22.808837672222214</v>
      </c>
      <c r="F58" s="69">
        <f t="shared" si="4"/>
        <v>2.3626251666666657E-2</v>
      </c>
      <c r="Z58">
        <v>11.447385280799999</v>
      </c>
      <c r="AA58">
        <v>-0.62417319127700222</v>
      </c>
      <c r="AC58">
        <f>(Z61+1*Wing!$T$2)*10</f>
        <v>103.53878974400001</v>
      </c>
      <c r="AD58">
        <f t="shared" si="5"/>
        <v>19.137867120148982</v>
      </c>
      <c r="AI58" s="320">
        <f>AI23*Wing!$T$2</f>
        <v>17.150486181111106</v>
      </c>
      <c r="AJ58" s="320">
        <f>AJ23*Wing!$T$2</f>
        <v>2.0413624572222213</v>
      </c>
      <c r="AL58" s="136">
        <f>AL23*Wing!$T$2</f>
        <v>17.150486181111106</v>
      </c>
      <c r="AM58" s="136">
        <f>AM23*Wing!$T$2</f>
        <v>-0.27316136305025107</v>
      </c>
    </row>
    <row r="59" spans="2:39" x14ac:dyDescent="0.25">
      <c r="B59">
        <v>0.87997999999999998</v>
      </c>
      <c r="C59">
        <v>1.89E-3</v>
      </c>
      <c r="E59" s="69">
        <f t="shared" si="3"/>
        <v>23.897274645555544</v>
      </c>
      <c r="F59" s="69">
        <f t="shared" si="4"/>
        <v>5.1325994999999978E-2</v>
      </c>
      <c r="Z59">
        <v>10.195639729079998</v>
      </c>
      <c r="AA59">
        <v>-0.70385579046998525</v>
      </c>
      <c r="AC59">
        <f>(Z62+1*Wing!$T$2)*10</f>
        <v>92.43319593919999</v>
      </c>
      <c r="AD59">
        <f t="shared" si="5"/>
        <v>18.764956260628651</v>
      </c>
      <c r="AI59" s="320">
        <f>AI24*Wing!$T$2</f>
        <v>18.459163270555546</v>
      </c>
      <c r="AJ59" s="320">
        <f>AJ24*Wing!$T$2</f>
        <v>1.7993970522222216</v>
      </c>
      <c r="AL59" s="136">
        <f>AL24*Wing!$T$2</f>
        <v>18.459163270555546</v>
      </c>
      <c r="AM59" s="136">
        <f>AM24*Wing!$T$2</f>
        <v>-0.18734113365051216</v>
      </c>
    </row>
    <row r="60" spans="2:39" x14ac:dyDescent="0.25">
      <c r="B60">
        <v>0.91517999999999999</v>
      </c>
      <c r="C60">
        <v>2.3E-3</v>
      </c>
      <c r="E60" s="69">
        <f t="shared" si="3"/>
        <v>24.853187356666655</v>
      </c>
      <c r="F60" s="69">
        <f t="shared" si="4"/>
        <v>6.246020555555553E-2</v>
      </c>
      <c r="Z60">
        <v>8.9809654066799993</v>
      </c>
      <c r="AA60">
        <v>-0.77117798083379918</v>
      </c>
      <c r="AC60">
        <f>(Z63+1*Wing!$T$2)*10</f>
        <v>81.982264269200002</v>
      </c>
      <c r="AD60">
        <f t="shared" si="5"/>
        <v>18.347430250167989</v>
      </c>
      <c r="AI60" s="320">
        <f>AI25*Wing!$T$2</f>
        <v>19.732536765555551</v>
      </c>
      <c r="AJ60" s="320">
        <f>AJ25*Wing!$T$2</f>
        <v>1.5484699655555549</v>
      </c>
      <c r="AL60" s="136">
        <f>AL25*Wing!$T$2</f>
        <v>19.732536765555551</v>
      </c>
      <c r="AM60" s="136">
        <f>AM25*Wing!$T$2</f>
        <v>-0.11059931071541246</v>
      </c>
    </row>
    <row r="61" spans="2:39" x14ac:dyDescent="0.25">
      <c r="B61">
        <v>0.94491000000000003</v>
      </c>
      <c r="C61">
        <v>2.16E-3</v>
      </c>
      <c r="E61" s="69">
        <f t="shared" si="3"/>
        <v>25.660553404999991</v>
      </c>
      <c r="F61" s="69">
        <f t="shared" si="4"/>
        <v>5.8658279999999979E-2</v>
      </c>
      <c r="Z61">
        <v>7.8138789743999997</v>
      </c>
      <c r="AA61">
        <v>-0.82350724687399157</v>
      </c>
      <c r="AC61">
        <f>(Z64+1*Wing!$T$2)*10</f>
        <v>72.264869689999983</v>
      </c>
      <c r="AD61">
        <f t="shared" si="5"/>
        <v>18.299605855126618</v>
      </c>
      <c r="AI61" s="320">
        <f>AI26*Wing!$T$2</f>
        <v>20.955670529999992</v>
      </c>
      <c r="AJ61" s="320">
        <f>AJ26*Wing!$T$2</f>
        <v>1.2975428788888883</v>
      </c>
      <c r="AL61" s="136">
        <f>AL26*Wing!$T$2</f>
        <v>20.955670529999992</v>
      </c>
      <c r="AM61" s="136">
        <f>AM26*Wing!$T$2</f>
        <v>-4.5768231890493102E-2</v>
      </c>
    </row>
    <row r="62" spans="2:39" x14ac:dyDescent="0.25">
      <c r="B62">
        <v>0.96863999999999995</v>
      </c>
      <c r="C62">
        <v>1.6299999999999999E-3</v>
      </c>
      <c r="E62" s="69">
        <f t="shared" si="3"/>
        <v>26.304979786666657</v>
      </c>
      <c r="F62" s="69">
        <f t="shared" si="4"/>
        <v>4.4265276111111092E-2</v>
      </c>
      <c r="Z62">
        <v>6.7033195939199999</v>
      </c>
      <c r="AA62">
        <v>-0.86079833282602503</v>
      </c>
      <c r="AC62">
        <f>(Z65+1*Wing!$T$2)*10</f>
        <v>63.344112166399995</v>
      </c>
      <c r="AD62">
        <f t="shared" si="5"/>
        <v>18.426904214504233</v>
      </c>
      <c r="AI62" s="320">
        <f>AI27*Wing!$T$2</f>
        <v>22.112813729444436</v>
      </c>
      <c r="AJ62" s="320">
        <f>AJ27*Wing!$T$2</f>
        <v>1.0550343416666663</v>
      </c>
      <c r="AL62" s="136">
        <f>AL27*Wing!$T$2</f>
        <v>22.112813729444436</v>
      </c>
      <c r="AM62" s="136">
        <f>AM27*Wing!$T$2</f>
        <v>5.9130674941783147E-3</v>
      </c>
    </row>
    <row r="63" spans="2:39" x14ac:dyDescent="0.25">
      <c r="B63">
        <v>0.98592999999999997</v>
      </c>
      <c r="C63">
        <v>9.2000000000000003E-4</v>
      </c>
      <c r="E63" s="69">
        <f t="shared" si="3"/>
        <v>26.774517592777766</v>
      </c>
      <c r="F63" s="69">
        <f t="shared" si="4"/>
        <v>2.4984082222222214E-2</v>
      </c>
      <c r="Z63">
        <v>5.6582264269199998</v>
      </c>
      <c r="AA63">
        <v>-0.90255093387209107</v>
      </c>
      <c r="AC63">
        <f>(Z66+1*Wing!$T$2)*10</f>
        <v>55.275204167599995</v>
      </c>
      <c r="AD63">
        <f t="shared" si="5"/>
        <v>18.741782909155194</v>
      </c>
      <c r="AI63" s="320">
        <f>AI28*Wing!$T$2</f>
        <v>23.186586132777766</v>
      </c>
      <c r="AJ63" s="320">
        <f>AJ28*Wing!$T$2</f>
        <v>0.82800507277777735</v>
      </c>
      <c r="AL63" s="136">
        <f>AL28*Wing!$T$2</f>
        <v>23.186586132777766</v>
      </c>
      <c r="AM63" s="136">
        <f>AM28*Wing!$T$2</f>
        <v>4.3048089027304226E-2</v>
      </c>
    </row>
    <row r="64" spans="2:39" x14ac:dyDescent="0.25">
      <c r="B64">
        <v>0.99646000000000001</v>
      </c>
      <c r="C64">
        <v>2.7E-4</v>
      </c>
      <c r="E64" s="69">
        <f t="shared" si="3"/>
        <v>27.060476707777767</v>
      </c>
      <c r="F64" s="69">
        <f t="shared" si="4"/>
        <v>7.3322849999999974E-3</v>
      </c>
      <c r="Z64">
        <v>4.6864869689999988</v>
      </c>
      <c r="AA64">
        <v>-0.9073333733762281</v>
      </c>
      <c r="AC64">
        <f>(Z67+1*Wing!$T$2)*10</f>
        <v>48.108099832400001</v>
      </c>
      <c r="AD64">
        <f t="shared" si="5"/>
        <v>19.240157027043008</v>
      </c>
      <c r="AI64" s="320">
        <f>AI29*Wing!$T$2</f>
        <v>24.160422207222211</v>
      </c>
      <c r="AJ64" s="320">
        <f>AJ29*Wing!$T$2</f>
        <v>0.62161482833333315</v>
      </c>
      <c r="AL64" s="136">
        <f>AL29*Wing!$T$2</f>
        <v>24.160422207222211</v>
      </c>
      <c r="AM64" s="136">
        <f>AM29*Wing!$T$2</f>
        <v>5.4391066030776446E-2</v>
      </c>
    </row>
    <row r="65" spans="2:39" x14ac:dyDescent="0.25">
      <c r="B65">
        <v>1.0000100000000001</v>
      </c>
      <c r="C65">
        <v>0</v>
      </c>
      <c r="E65" s="69">
        <f t="shared" si="3"/>
        <v>27.156882677222214</v>
      </c>
      <c r="F65" s="69">
        <f t="shared" si="4"/>
        <v>0</v>
      </c>
      <c r="Z65">
        <v>3.7944112166399999</v>
      </c>
      <c r="AA65">
        <v>-0.89460353743846666</v>
      </c>
      <c r="AC65">
        <f>(Z68+1*Wing!$T$2)*10</f>
        <v>41.882236638799995</v>
      </c>
      <c r="AD65">
        <f t="shared" si="5"/>
        <v>19.905571476079444</v>
      </c>
      <c r="AI65" s="320">
        <f>AI30*Wing!$T$2</f>
        <v>25.018571118333323</v>
      </c>
      <c r="AJ65" s="320">
        <f>AJ30*Wing!$T$2</f>
        <v>0.43857926944444431</v>
      </c>
      <c r="AL65" s="136">
        <f>AL30*Wing!$T$2</f>
        <v>25.018571118333323</v>
      </c>
      <c r="AM65" s="136">
        <f>AM30*Wing!$T$2</f>
        <v>6.1681405466980588E-2</v>
      </c>
    </row>
    <row r="66" spans="2:39" x14ac:dyDescent="0.25">
      <c r="Z66">
        <v>2.9875204167599994</v>
      </c>
      <c r="AA66">
        <v>-0.86311566797337036</v>
      </c>
      <c r="AC66">
        <f>(Z69+1*Wing!$T$2)*10</f>
        <v>36.631793734400006</v>
      </c>
      <c r="AD66">
        <f t="shared" si="5"/>
        <v>20.747284185654276</v>
      </c>
      <c r="AI66" s="320">
        <f>AI31*Wing!$T$2</f>
        <v>25.749355523333325</v>
      </c>
      <c r="AJ66" s="320">
        <f>AJ31*Wing!$T$2</f>
        <v>0.28134249111111098</v>
      </c>
      <c r="AL66" s="136">
        <f>AL31*Wing!$T$2</f>
        <v>25.749355523333325</v>
      </c>
      <c r="AM66" s="136">
        <f>AM31*Wing!$T$2</f>
        <v>5.6674920424919194E-2</v>
      </c>
    </row>
    <row r="67" spans="2:39" x14ac:dyDescent="0.25">
      <c r="Z67">
        <v>2.2708099832399999</v>
      </c>
      <c r="AA67">
        <v>-0.81327825618458915</v>
      </c>
      <c r="AC67">
        <f>(Z70+1*Wing!$T$2)*10</f>
        <v>32.367287779999998</v>
      </c>
      <c r="AD67">
        <f t="shared" si="5"/>
        <v>21.753408287441836</v>
      </c>
      <c r="AI67" s="320">
        <f>AI32*Wing!$T$2</f>
        <v>26.34299904222221</v>
      </c>
      <c r="AJ67" s="320">
        <f>AJ32*Wing!$T$2</f>
        <v>0.15506424944444439</v>
      </c>
      <c r="AL67" s="136">
        <f>AL32*Wing!$T$2</f>
        <v>26.34299904222221</v>
      </c>
      <c r="AM67" s="136">
        <f>AM32*Wing!$T$2</f>
        <v>4.270404583670722E-2</v>
      </c>
    </row>
    <row r="68" spans="2:39" x14ac:dyDescent="0.25">
      <c r="Z68">
        <v>1.6482236638799996</v>
      </c>
      <c r="AA68">
        <v>-0.74673681128094549</v>
      </c>
      <c r="AC68">
        <f>(Z71+1*Wing!$T$2)*10</f>
        <v>29.107122931999999</v>
      </c>
      <c r="AD68">
        <f t="shared" si="5"/>
        <v>22.904090647127834</v>
      </c>
      <c r="AI68" s="320">
        <f>AI33*Wing!$T$2</f>
        <v>26.785651803333323</v>
      </c>
      <c r="AJ68" s="320">
        <f>AJ33*Wing!$T$2</f>
        <v>6.5718998888888852E-2</v>
      </c>
      <c r="AL68" s="136">
        <f>AL33*Wing!$T$2</f>
        <v>26.785651803333323</v>
      </c>
      <c r="AM68" s="136">
        <f>AM33*Wing!$T$2</f>
        <v>2.4296785274348424E-2</v>
      </c>
    </row>
    <row r="69" spans="2:39" x14ac:dyDescent="0.25">
      <c r="Z69">
        <v>1.12317937344</v>
      </c>
      <c r="AA69">
        <v>-0.66256554032346227</v>
      </c>
      <c r="AC69">
        <f>(Z72+1*Wing!$T$2)*10</f>
        <v>26.8775908424</v>
      </c>
      <c r="AD69">
        <f t="shared" si="5"/>
        <v>24.227998105159475</v>
      </c>
      <c r="AI69" s="320">
        <f>AI34*Wing!$T$2</f>
        <v>27.062106104444432</v>
      </c>
      <c r="AJ69" s="320">
        <f>AJ34*Wing!$T$2</f>
        <v>1.5479268333333327E-2</v>
      </c>
      <c r="AL69" s="136">
        <f>AL34*Wing!$T$2</f>
        <v>27.062106104444432</v>
      </c>
      <c r="AM69" s="136">
        <f>AM34*Wing!$T$2</f>
        <v>7.2083590563383369E-3</v>
      </c>
    </row>
    <row r="70" spans="2:39" x14ac:dyDescent="0.25">
      <c r="Z70">
        <v>0.69672877799999988</v>
      </c>
      <c r="AA70">
        <v>-0.56195313014470583</v>
      </c>
      <c r="AC70">
        <f>(Z73+1*Wing!$T$2)*10</f>
        <v>25.670804015600002</v>
      </c>
      <c r="AD70">
        <f t="shared" si="5"/>
        <v>26.662477289138309</v>
      </c>
      <c r="AI70" s="320">
        <f>AI35*Wing!$T$2</f>
        <v>27.156611111111101</v>
      </c>
      <c r="AJ70" s="320">
        <f>AJ35*Wing!$T$2</f>
        <v>0</v>
      </c>
      <c r="AL70" s="136">
        <f>AL35*Wing!$T$2</f>
        <v>27.156611111111101</v>
      </c>
      <c r="AM70" s="136">
        <f>AM35*Wing!$T$2</f>
        <v>0</v>
      </c>
    </row>
    <row r="71" spans="2:39" x14ac:dyDescent="0.25">
      <c r="Z71">
        <v>0.37071229319999993</v>
      </c>
      <c r="AA71">
        <v>-0.4468848941761065</v>
      </c>
      <c r="AC71">
        <f>(Z74+1*Wing!$T$2)*10</f>
        <v>25.4</v>
      </c>
      <c r="AD71">
        <f t="shared" si="5"/>
        <v>27.372939588888897</v>
      </c>
      <c r="AI71" s="136"/>
      <c r="AJ71" s="136"/>
    </row>
    <row r="72" spans="2:39" x14ac:dyDescent="0.25">
      <c r="Z72">
        <v>0.14775908423999998</v>
      </c>
      <c r="AA72">
        <v>-0.31449414837294232</v>
      </c>
      <c r="AI72" s="136"/>
      <c r="AJ72" s="136"/>
    </row>
    <row r="73" spans="2:39" x14ac:dyDescent="0.25">
      <c r="Z73">
        <v>2.7080401559999998E-2</v>
      </c>
      <c r="AA73">
        <v>-7.1046229975058828E-2</v>
      </c>
    </row>
    <row r="74" spans="2:39" x14ac:dyDescent="0.25">
      <c r="Z74">
        <v>0</v>
      </c>
      <c r="AA74">
        <v>0</v>
      </c>
    </row>
  </sheetData>
  <mergeCells count="1">
    <mergeCell ref="A1:Q1"/>
  </mergeCells>
  <pageMargins left="0.7" right="0.7" top="0.75" bottom="0.75" header="0.3" footer="0.3"/>
  <drawing r:id="rId1"/>
  <tableParts count="2">
    <tablePart r:id="rId2"/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9">
    <tabColor rgb="FF00B050"/>
  </sheetPr>
  <dimension ref="A1:CS685"/>
  <sheetViews>
    <sheetView topLeftCell="H88" zoomScale="55" zoomScaleNormal="55" workbookViewId="0">
      <selection activeCell="AA115" activeCellId="2" sqref="P41:P42 AA115 AA115"/>
    </sheetView>
  </sheetViews>
  <sheetFormatPr defaultColWidth="10.85546875" defaultRowHeight="15" x14ac:dyDescent="0.25"/>
  <cols>
    <col min="1" max="1" width="22" customWidth="1"/>
    <col min="2" max="2" width="18.140625" bestFit="1" customWidth="1"/>
    <col min="3" max="3" width="12.85546875" customWidth="1"/>
    <col min="4" max="4" width="14.42578125" bestFit="1" customWidth="1"/>
    <col min="5" max="5" width="15.7109375" customWidth="1"/>
    <col min="6" max="6" width="21.7109375" customWidth="1"/>
    <col min="7" max="7" width="36.7109375" bestFit="1" customWidth="1"/>
    <col min="8" max="8" width="16.7109375" bestFit="1" customWidth="1"/>
    <col min="9" max="9" width="19.140625" customWidth="1"/>
    <col min="10" max="10" width="18.42578125" customWidth="1"/>
    <col min="11" max="11" width="25.28515625" bestFit="1" customWidth="1"/>
    <col min="12" max="12" width="15" bestFit="1" customWidth="1"/>
    <col min="13" max="13" width="13" bestFit="1" customWidth="1"/>
    <col min="14" max="14" width="11.85546875" customWidth="1"/>
    <col min="15" max="15" width="25.7109375" bestFit="1" customWidth="1"/>
    <col min="16" max="16" width="23.28515625" bestFit="1" customWidth="1"/>
    <col min="17" max="17" width="16.28515625" bestFit="1" customWidth="1"/>
    <col min="18" max="18" width="16" bestFit="1" customWidth="1"/>
    <col min="19" max="19" width="18.5703125" customWidth="1"/>
    <col min="20" max="20" width="15.28515625" bestFit="1" customWidth="1"/>
    <col min="21" max="21" width="22.7109375" bestFit="1" customWidth="1"/>
    <col min="22" max="22" width="15.7109375" bestFit="1" customWidth="1"/>
    <col min="23" max="23" width="13.85546875" bestFit="1" customWidth="1"/>
    <col min="24" max="24" width="29.140625" customWidth="1"/>
    <col min="25" max="25" width="21" bestFit="1" customWidth="1"/>
    <col min="26" max="27" width="12.140625" bestFit="1" customWidth="1"/>
    <col min="29" max="29" width="18.42578125" customWidth="1"/>
    <col min="30" max="30" width="23.85546875" bestFit="1" customWidth="1"/>
    <col min="31" max="31" width="24.85546875" bestFit="1" customWidth="1"/>
    <col min="32" max="32" width="17.140625" customWidth="1"/>
    <col min="37" max="37" width="13.7109375" bestFit="1" customWidth="1"/>
    <col min="50" max="50" width="12.28515625" bestFit="1" customWidth="1"/>
    <col min="56" max="56" width="41.140625" bestFit="1" customWidth="1"/>
    <col min="57" max="57" width="16" bestFit="1" customWidth="1"/>
    <col min="71" max="71" width="14.42578125" customWidth="1"/>
    <col min="90" max="90" width="16.42578125" customWidth="1"/>
  </cols>
  <sheetData>
    <row r="1" spans="1:23" x14ac:dyDescent="0.25">
      <c r="A1" s="59"/>
      <c r="M1" s="59" t="s">
        <v>2004</v>
      </c>
      <c r="S1" s="59" t="s">
        <v>2008</v>
      </c>
    </row>
    <row r="2" spans="1:23" x14ac:dyDescent="0.25">
      <c r="F2" s="7"/>
      <c r="G2" s="7"/>
      <c r="H2" s="7"/>
      <c r="I2" s="7"/>
      <c r="S2" s="7" t="s">
        <v>1847</v>
      </c>
      <c r="T2" s="7">
        <v>2.54</v>
      </c>
      <c r="U2" s="7" t="s">
        <v>1822</v>
      </c>
      <c r="V2" s="7">
        <v>1</v>
      </c>
      <c r="W2" s="7" t="s">
        <v>701</v>
      </c>
    </row>
    <row r="3" spans="1:23" x14ac:dyDescent="0.25">
      <c r="F3" s="7"/>
      <c r="G3" s="7" t="str">
        <f>IF('External layout'!A1="","",'External layout'!A1)</f>
        <v>FUSELAGE</v>
      </c>
      <c r="H3" s="7" t="str">
        <f>IF('External layout'!B1="","",'External layout'!B1)</f>
        <v/>
      </c>
      <c r="I3" s="7"/>
      <c r="S3" s="7"/>
      <c r="T3" s="7"/>
      <c r="U3" s="7"/>
      <c r="V3" s="7"/>
      <c r="W3" s="7"/>
    </row>
    <row r="4" spans="1:23" x14ac:dyDescent="0.25">
      <c r="F4" s="7"/>
      <c r="G4" s="7" t="str">
        <f>IF('External layout'!A2="","",'External layout'!A2)</f>
        <v xml:space="preserve">Height: </v>
      </c>
      <c r="H4" s="7">
        <f>IF('External layout'!B2="","",'External layout'!B2)</f>
        <v>0.15240000000000001</v>
      </c>
      <c r="I4" s="7"/>
      <c r="S4" s="7" t="s">
        <v>1847</v>
      </c>
      <c r="T4" s="7">
        <f>T2*12</f>
        <v>30.48</v>
      </c>
      <c r="U4" s="7" t="s">
        <v>1822</v>
      </c>
      <c r="V4" s="7">
        <v>1</v>
      </c>
      <c r="W4" s="7" t="s">
        <v>1999</v>
      </c>
    </row>
    <row r="5" spans="1:23" x14ac:dyDescent="0.25">
      <c r="F5" s="7"/>
      <c r="G5" s="7" t="str">
        <f>IF('External layout'!A3="","",'External layout'!A3)</f>
        <v xml:space="preserve">Width: </v>
      </c>
      <c r="H5" s="7">
        <f>IF('External layout'!B3="","",'External layout'!B3)</f>
        <v>0.12</v>
      </c>
      <c r="I5" s="7"/>
      <c r="S5" s="7"/>
      <c r="T5" s="7"/>
      <c r="U5" s="7"/>
      <c r="V5" s="7"/>
      <c r="W5" s="7"/>
    </row>
    <row r="6" spans="1:23" x14ac:dyDescent="0.25">
      <c r="F6" s="7"/>
      <c r="G6" s="7" t="str">
        <f>IF('External layout'!A4="","",'External layout'!A4)</f>
        <v xml:space="preserve">L_nose: </v>
      </c>
      <c r="H6" s="7">
        <f>IF('External layout'!B4="","",'External layout'!B4)</f>
        <v>0.223389068442015</v>
      </c>
      <c r="I6" s="7"/>
      <c r="S6" s="7" t="s">
        <v>2067</v>
      </c>
      <c r="T6" s="7">
        <v>1</v>
      </c>
      <c r="U6" s="7" t="s">
        <v>1822</v>
      </c>
      <c r="V6" s="7">
        <v>2.2046199999999998</v>
      </c>
      <c r="W6" s="7" t="s">
        <v>1942</v>
      </c>
    </row>
    <row r="7" spans="1:23" x14ac:dyDescent="0.25">
      <c r="F7" s="7"/>
      <c r="G7" s="7" t="str">
        <f>IF('External layout'!A5="","",'External layout'!A5)</f>
        <v xml:space="preserve">L_body: </v>
      </c>
      <c r="H7" s="7">
        <f>IF('External layout'!B5="","",'External layout'!B5)</f>
        <v>0.72</v>
      </c>
      <c r="I7" s="7"/>
      <c r="S7" s="7"/>
      <c r="T7" s="7"/>
      <c r="U7" s="7"/>
      <c r="V7" s="7"/>
      <c r="W7" s="7"/>
    </row>
    <row r="8" spans="1:23" x14ac:dyDescent="0.25">
      <c r="F8" s="7"/>
      <c r="G8" s="7" t="str">
        <f>IF('External layout'!A6="","",'External layout'!A6)</f>
        <v xml:space="preserve">L_rear: </v>
      </c>
      <c r="H8" s="7">
        <f>IF('External layout'!B6="","",'External layout'!B6)</f>
        <v>0.55579956885405424</v>
      </c>
      <c r="I8" s="7"/>
      <c r="S8" s="7" t="s">
        <v>2069</v>
      </c>
      <c r="T8" s="7">
        <v>1</v>
      </c>
      <c r="U8" s="7" t="s">
        <v>1822</v>
      </c>
      <c r="V8" s="7">
        <v>0.22480894244300001</v>
      </c>
      <c r="W8" s="7" t="s">
        <v>1942</v>
      </c>
    </row>
    <row r="9" spans="1:23" x14ac:dyDescent="0.25">
      <c r="F9" s="7"/>
      <c r="G9" s="7" t="str">
        <f>IF('External layout'!A7="","",'External layout'!A7)</f>
        <v xml:space="preserve">L_total: </v>
      </c>
      <c r="H9" s="7">
        <f>IF('External layout'!B7="","",'External layout'!B7)</f>
        <v>1.4991886372960692</v>
      </c>
      <c r="I9" s="7"/>
    </row>
    <row r="10" spans="1:23" x14ac:dyDescent="0.25">
      <c r="F10" s="7"/>
      <c r="G10" s="7" t="str">
        <f>IF('External layout'!A8="","",'External layout'!A8)</f>
        <v xml:space="preserve">Angle: </v>
      </c>
      <c r="H10" s="7">
        <f>IF('External layout'!B8="","",'External layout'!B8)</f>
        <v>15</v>
      </c>
      <c r="I10" s="7"/>
    </row>
    <row r="11" spans="1:23" x14ac:dyDescent="0.25">
      <c r="F11" s="7"/>
      <c r="G11" s="7" t="str">
        <f>IF('External layout'!A9="","",'External layout'!A9)</f>
        <v/>
      </c>
      <c r="H11" s="7" t="str">
        <f>IF('External layout'!B9="","",'External layout'!B9)</f>
        <v/>
      </c>
      <c r="I11" s="7"/>
    </row>
    <row r="12" spans="1:23" x14ac:dyDescent="0.25">
      <c r="F12" s="7"/>
      <c r="G12" s="7" t="str">
        <f>IF('External layout'!A10="","",'External layout'!A10)</f>
        <v/>
      </c>
      <c r="H12" s="7" t="str">
        <f>IF('External layout'!B10="","",'External layout'!B10)</f>
        <v/>
      </c>
      <c r="I12" s="7"/>
    </row>
    <row r="13" spans="1:23" x14ac:dyDescent="0.25">
      <c r="F13" s="7"/>
      <c r="G13" s="7" t="str">
        <f>IF('External layout'!A11="","",'External layout'!A11)</f>
        <v>WING</v>
      </c>
      <c r="H13" s="7" t="str">
        <f>IF('External layout'!B11="","",'External layout'!B11)</f>
        <v/>
      </c>
      <c r="I13" s="7"/>
    </row>
    <row r="14" spans="1:23" x14ac:dyDescent="0.25">
      <c r="F14" s="7"/>
      <c r="G14" s="7" t="str">
        <f>IF('External layout'!A12="","",'External layout'!A12)</f>
        <v xml:space="preserve">x_LE: </v>
      </c>
      <c r="H14" s="7">
        <f>IF('External layout'!B12="","",'External layout'!B12)</f>
        <v>0.43409086391783164</v>
      </c>
      <c r="I14" s="7"/>
    </row>
    <row r="15" spans="1:23" x14ac:dyDescent="0.25">
      <c r="F15" s="7"/>
      <c r="G15" s="7" t="str">
        <f>IF('External layout'!A13="","",'External layout'!A13)</f>
        <v xml:space="preserve">x_AC: </v>
      </c>
      <c r="H15" s="7">
        <f>IF('External layout'!B13="","",'External layout'!B13)</f>
        <v>0.50198239169560943</v>
      </c>
      <c r="I15" s="7"/>
    </row>
    <row r="16" spans="1:23" x14ac:dyDescent="0.25">
      <c r="F16" s="7"/>
      <c r="G16" s="7" t="str">
        <f>IF('External layout'!A14="","",'External layout'!A14)</f>
        <v xml:space="preserve">Chord root: </v>
      </c>
      <c r="H16" s="7">
        <f>IF('External layout'!B14="","",'External layout'!B14)</f>
        <v>0.27156611111111101</v>
      </c>
      <c r="I16" s="7"/>
    </row>
    <row r="17" spans="6:13" x14ac:dyDescent="0.25">
      <c r="F17" s="7"/>
      <c r="G17" s="7" t="str">
        <f>IF('External layout'!A15="","",'External layout'!A15)</f>
        <v xml:space="preserve">Span: </v>
      </c>
      <c r="H17" s="7">
        <f>IF('External layout'!B15="","",'External layout'!B15)</f>
        <v>1.9009627777777778</v>
      </c>
      <c r="I17" s="7"/>
    </row>
    <row r="18" spans="6:13" x14ac:dyDescent="0.25">
      <c r="F18" s="7"/>
      <c r="G18" s="7" t="str">
        <f>IF('External layout'!A16="","",'External layout'!A16)</f>
        <v xml:space="preserve">Airfoil: </v>
      </c>
      <c r="H18" s="7" t="str">
        <f>IF('External layout'!B16="","",'External layout'!B16)</f>
        <v>SD7062</v>
      </c>
      <c r="I18" s="7"/>
    </row>
    <row r="19" spans="6:13" x14ac:dyDescent="0.25">
      <c r="F19" s="7"/>
      <c r="G19" s="7" t="str">
        <f>IF('External layout'!A17="","",'External layout'!A17)</f>
        <v xml:space="preserve">Aileron_span_start: </v>
      </c>
      <c r="H19" s="7">
        <f>IF('External layout'!B17="","",'External layout'!B17)</f>
        <v>0.56917017319777063</v>
      </c>
      <c r="I19" s="7"/>
      <c r="M19" s="59" t="s">
        <v>2007</v>
      </c>
    </row>
    <row r="20" spans="6:13" x14ac:dyDescent="0.25">
      <c r="F20" s="7"/>
      <c r="G20" s="7" t="str">
        <f>IF('External layout'!A18="","",'External layout'!A18)</f>
        <v xml:space="preserve">Aileron_span_end: </v>
      </c>
      <c r="H20" s="7">
        <f>IF('External layout'!B18="","",'External layout'!B18)</f>
        <v>0.90295731944444424</v>
      </c>
      <c r="I20" s="7"/>
    </row>
    <row r="21" spans="6:13" x14ac:dyDescent="0.25">
      <c r="F21" s="7"/>
      <c r="G21" s="7" t="str">
        <f>IF('External layout'!A19="","",'External layout'!A19)</f>
        <v xml:space="preserve">Aileron_chord_ratio: </v>
      </c>
      <c r="H21" s="7">
        <f>IF('External layout'!B19="","",'External layout'!B19)</f>
        <v>0.25</v>
      </c>
      <c r="I21" s="7"/>
      <c r="M21" t="s">
        <v>2005</v>
      </c>
    </row>
    <row r="22" spans="6:13" x14ac:dyDescent="0.25">
      <c r="F22" s="7"/>
      <c r="G22" s="7" t="str">
        <f>IF('External layout'!A20="","",'External layout'!A20)</f>
        <v xml:space="preserve">Aileron_angle_max: </v>
      </c>
      <c r="H22" s="7">
        <f>IF('External layout'!B20="","",'External layout'!B20)</f>
        <v>25</v>
      </c>
      <c r="I22" s="7"/>
      <c r="M22" t="s">
        <v>2014</v>
      </c>
    </row>
    <row r="23" spans="6:13" x14ac:dyDescent="0.25">
      <c r="F23" s="7"/>
      <c r="G23" s="7" t="str">
        <f>IF('External layout'!A21="","",'External layout'!A21)</f>
        <v xml:space="preserve">Aileron_angle_min: </v>
      </c>
      <c r="H23" s="7">
        <f>IF('External layout'!B21="","",'External layout'!B21)</f>
        <v>-25</v>
      </c>
      <c r="I23" s="7"/>
    </row>
    <row r="24" spans="6:13" x14ac:dyDescent="0.25">
      <c r="F24" s="7"/>
      <c r="G24" s="7" t="str">
        <f>IF('External layout'!A22="","",'External layout'!A22)</f>
        <v/>
      </c>
      <c r="H24" s="7" t="str">
        <f>IF('External layout'!B22="","",'External layout'!B22)</f>
        <v/>
      </c>
      <c r="I24" s="7"/>
    </row>
    <row r="25" spans="6:13" x14ac:dyDescent="0.25">
      <c r="F25" s="7"/>
      <c r="G25" s="7" t="str">
        <f>IF('External layout'!A23="","",'External layout'!A23)</f>
        <v/>
      </c>
      <c r="H25" s="7" t="str">
        <f>IF('External layout'!B23="","",'External layout'!B23)</f>
        <v/>
      </c>
      <c r="I25" s="7"/>
    </row>
    <row r="26" spans="6:13" x14ac:dyDescent="0.25">
      <c r="F26" s="7"/>
      <c r="G26" s="7" t="str">
        <f>IF('External layout'!A24="","",'External layout'!A24)</f>
        <v>HSTAB</v>
      </c>
      <c r="H26" s="7" t="str">
        <f>IF('External layout'!B24="","",'External layout'!B24)</f>
        <v/>
      </c>
      <c r="I26" s="7"/>
    </row>
    <row r="27" spans="6:13" x14ac:dyDescent="0.25">
      <c r="F27" s="7"/>
      <c r="G27" s="7" t="str">
        <f>IF('External layout'!A25="","",'External layout'!A25)</f>
        <v xml:space="preserve">x_LE: </v>
      </c>
      <c r="H27" s="7">
        <f>IF('External layout'!B25="","",'External layout'!B25)</f>
        <v>1.2128210156327217</v>
      </c>
      <c r="I27" s="7"/>
    </row>
    <row r="28" spans="6:13" x14ac:dyDescent="0.25">
      <c r="F28" s="7"/>
      <c r="G28" s="7" t="str">
        <f>IF('External layout'!A26="","",'External layout'!A26)</f>
        <v xml:space="preserve">x_AC: </v>
      </c>
      <c r="H28" s="7">
        <f>IF('External layout'!B26="","",'External layout'!B26)</f>
        <v>1.248702621421125</v>
      </c>
      <c r="I28" s="7"/>
    </row>
    <row r="29" spans="6:13" x14ac:dyDescent="0.25">
      <c r="F29" s="7"/>
      <c r="G29" s="7" t="str">
        <f>IF('External layout'!A27="","",'External layout'!A27)</f>
        <v xml:space="preserve">z_AC: </v>
      </c>
      <c r="H29" s="7">
        <f>IF('External layout'!B27="","",'External layout'!B27)</f>
        <v>2.3800000000000002E-2</v>
      </c>
      <c r="I29" s="7"/>
    </row>
    <row r="30" spans="6:13" x14ac:dyDescent="0.25">
      <c r="F30" s="7"/>
      <c r="G30" s="7" t="str">
        <f>IF('External layout'!A28="","",'External layout'!A28)</f>
        <v xml:space="preserve">Chord root: </v>
      </c>
      <c r="H30" s="7">
        <f>IF('External layout'!B28="","",'External layout'!B28)</f>
        <v>0.14352642315361319</v>
      </c>
      <c r="I30" s="7"/>
    </row>
    <row r="31" spans="6:13" x14ac:dyDescent="0.25">
      <c r="F31" s="7"/>
      <c r="G31" s="7" t="str">
        <f>IF('External layout'!A29="","",'External layout'!A29)</f>
        <v xml:space="preserve">Span: </v>
      </c>
      <c r="H31" s="7">
        <f>IF('External layout'!B29="","",'External layout'!B29)</f>
        <v>0.66978997471686152</v>
      </c>
      <c r="I31" s="7"/>
    </row>
    <row r="32" spans="6:13" x14ac:dyDescent="0.25">
      <c r="F32" s="7"/>
      <c r="G32" s="7" t="str">
        <f>IF('External layout'!A30="","",'External layout'!A30)</f>
        <v xml:space="preserve">Airfoil: </v>
      </c>
      <c r="H32" s="7" t="str">
        <f>IF('External layout'!B30="","",'External layout'!B30)</f>
        <v>NACA0006</v>
      </c>
      <c r="I32" s="7"/>
    </row>
    <row r="33" spans="6:9" x14ac:dyDescent="0.25">
      <c r="F33" s="7"/>
      <c r="G33" s="7" t="str">
        <f>IF('External layout'!A31="","",'External layout'!A31)</f>
        <v xml:space="preserve">Incidence: </v>
      </c>
      <c r="H33" s="7">
        <f>IF('External layout'!B31="","",'External layout'!B31)</f>
        <v>-0.58393031865523626</v>
      </c>
      <c r="I33" s="7"/>
    </row>
    <row r="34" spans="6:9" x14ac:dyDescent="0.25">
      <c r="F34" s="7"/>
      <c r="G34" s="7" t="str">
        <f>IF('External layout'!A32="","",'External layout'!A32)</f>
        <v xml:space="preserve">Elevator_span_start: </v>
      </c>
      <c r="H34" s="7">
        <f>IF('External layout'!B32="","",'External layout'!B32)</f>
        <v>0</v>
      </c>
      <c r="I34" s="7"/>
    </row>
    <row r="35" spans="6:9" x14ac:dyDescent="0.25">
      <c r="F35" s="7"/>
      <c r="G35" s="7" t="str">
        <f>IF('External layout'!A33="","",'External layout'!A33)</f>
        <v xml:space="preserve">Elevator_span_end: </v>
      </c>
      <c r="H35" s="7">
        <f>IF('External layout'!B33="","",'External layout'!B33)</f>
        <v>1</v>
      </c>
      <c r="I35" s="7"/>
    </row>
    <row r="36" spans="6:9" x14ac:dyDescent="0.25">
      <c r="F36" s="7"/>
      <c r="G36" s="7" t="str">
        <f>IF('External layout'!A34="","",'External layout'!A34)</f>
        <v xml:space="preserve">Elevator_choord_ratio: </v>
      </c>
      <c r="H36" s="7">
        <f>IF('External layout'!B34="","",'External layout'!B34)</f>
        <v>0.20776646122007825</v>
      </c>
      <c r="I36" s="7"/>
    </row>
    <row r="37" spans="6:9" x14ac:dyDescent="0.25">
      <c r="F37" s="7"/>
      <c r="G37" s="7" t="str">
        <f>IF('External layout'!A35="","",'External layout'!A35)</f>
        <v xml:space="preserve">Elevator_angle_maxup: </v>
      </c>
      <c r="H37" s="7">
        <f>IF('External layout'!B35="","",'External layout'!B35)</f>
        <v>-25</v>
      </c>
      <c r="I37" s="7"/>
    </row>
    <row r="38" spans="6:9" x14ac:dyDescent="0.25">
      <c r="F38" s="7"/>
      <c r="G38" s="7" t="str">
        <f>IF('External layout'!A36="","",'External layout'!A36)</f>
        <v xml:space="preserve">Elevator_angle_maxdown: </v>
      </c>
      <c r="H38" s="7">
        <f>IF('External layout'!B36="","",'External layout'!B36)</f>
        <v>2</v>
      </c>
      <c r="I38" s="7"/>
    </row>
    <row r="39" spans="6:9" x14ac:dyDescent="0.25">
      <c r="F39" s="7"/>
      <c r="G39" s="7" t="str">
        <f>IF('External layout'!A37="","",'External layout'!A37)</f>
        <v/>
      </c>
      <c r="H39" s="7" t="str">
        <f>IF('External layout'!B37="","",'External layout'!B37)</f>
        <v/>
      </c>
      <c r="I39" s="7"/>
    </row>
    <row r="40" spans="6:9" x14ac:dyDescent="0.25">
      <c r="F40" s="7"/>
      <c r="G40" s="7" t="str">
        <f>IF('External layout'!A38="","",'External layout'!A38)</f>
        <v/>
      </c>
      <c r="H40" s="7" t="str">
        <f>IF('External layout'!B38="","",'External layout'!B38)</f>
        <v/>
      </c>
      <c r="I40" s="7"/>
    </row>
    <row r="41" spans="6:9" x14ac:dyDescent="0.25">
      <c r="F41" s="7"/>
      <c r="G41" s="7" t="str">
        <f>IF('External layout'!A39="","",'External layout'!A39)</f>
        <v>VSTAB</v>
      </c>
      <c r="H41" s="7" t="str">
        <f>IF('External layout'!B39="","",'External layout'!B39)</f>
        <v/>
      </c>
      <c r="I41" s="7"/>
    </row>
    <row r="42" spans="6:9" x14ac:dyDescent="0.25">
      <c r="F42" s="7"/>
      <c r="G42" s="7" t="str">
        <f>IF('External layout'!A40="","",'External layout'!A40)</f>
        <v xml:space="preserve">x_LE: </v>
      </c>
      <c r="H42" s="7">
        <f>IF('External layout'!B40="","",'External layout'!B40)</f>
        <v>1.2112602235682557</v>
      </c>
      <c r="I42" s="7"/>
    </row>
    <row r="43" spans="6:9" x14ac:dyDescent="0.25">
      <c r="F43" s="7"/>
      <c r="G43" s="7" t="str">
        <f>IF('External layout'!A41="","",'External layout'!A41)</f>
        <v xml:space="preserve">x_AC: </v>
      </c>
      <c r="H43" s="7">
        <f>IF('External layout'!B41="","",'External layout'!B41)</f>
        <v>1.248702621421125</v>
      </c>
      <c r="I43" s="7"/>
    </row>
    <row r="44" spans="6:9" x14ac:dyDescent="0.25">
      <c r="F44" s="7"/>
      <c r="G44" s="7" t="str">
        <f>IF('External layout'!A42="","",'External layout'!A42)</f>
        <v xml:space="preserve">z_AC: </v>
      </c>
      <c r="H44" s="7">
        <f>IF('External layout'!B42="","",'External layout'!B42)</f>
        <v>2.3800000000000002E-2</v>
      </c>
      <c r="I44" s="7"/>
    </row>
    <row r="45" spans="6:9" x14ac:dyDescent="0.25">
      <c r="F45" s="7"/>
      <c r="G45" s="7" t="str">
        <f>IF('External layout'!A43="","",'External layout'!A43)</f>
        <v xml:space="preserve">Chord root: </v>
      </c>
      <c r="H45" s="7">
        <f>IF('External layout'!B43="","",'External layout'!B43)</f>
        <v>0.14976959141147678</v>
      </c>
      <c r="I45" s="7"/>
    </row>
    <row r="46" spans="6:9" x14ac:dyDescent="0.25">
      <c r="F46" s="7"/>
      <c r="G46" s="7" t="str">
        <f>IF('External layout'!A44="","",'External layout'!A44)</f>
        <v xml:space="preserve">Chord tip: </v>
      </c>
      <c r="H46" s="7">
        <f>IF('External layout'!B44="","",'External layout'!B44)</f>
        <v>0.11981567312918143</v>
      </c>
      <c r="I46" s="7"/>
    </row>
    <row r="47" spans="6:9" x14ac:dyDescent="0.25">
      <c r="F47" s="7"/>
      <c r="G47" s="7" t="str">
        <f>IF('External layout'!A45="","",'External layout'!A45)</f>
        <v xml:space="preserve">Span: </v>
      </c>
      <c r="H47" s="7">
        <f>IF('External layout'!B45="","",'External layout'!B45)</f>
        <v>0.22465438711721517</v>
      </c>
      <c r="I47" s="7"/>
    </row>
    <row r="48" spans="6:9" x14ac:dyDescent="0.25">
      <c r="F48" s="7"/>
      <c r="G48" s="7" t="str">
        <f>IF('External layout'!A46="","",'External layout'!A46)</f>
        <v xml:space="preserve">Airfoil: </v>
      </c>
      <c r="H48" s="7" t="str">
        <f>IF('External layout'!B46="","",'External layout'!B46)</f>
        <v>NACA0006</v>
      </c>
      <c r="I48" s="7"/>
    </row>
    <row r="49" spans="6:9" x14ac:dyDescent="0.25">
      <c r="F49" s="7"/>
      <c r="G49" s="7" t="str">
        <f>IF('External layout'!A47="","",'External layout'!A47)</f>
        <v xml:space="preserve">Rudder_span_start: </v>
      </c>
      <c r="H49" s="7">
        <f>IF('External layout'!B47="","",'External layout'!B47)</f>
        <v>0</v>
      </c>
      <c r="I49" s="7"/>
    </row>
    <row r="50" spans="6:9" x14ac:dyDescent="0.25">
      <c r="F50" s="7"/>
      <c r="G50" s="7" t="str">
        <f>IF('External layout'!A48="","",'External layout'!A48)</f>
        <v xml:space="preserve">Rudder_span_end: </v>
      </c>
      <c r="H50" s="7">
        <f>IF('External layout'!B48="","",'External layout'!B48)</f>
        <v>1</v>
      </c>
      <c r="I50" s="7"/>
    </row>
    <row r="51" spans="6:9" x14ac:dyDescent="0.25">
      <c r="F51" s="7"/>
      <c r="G51" s="7" t="str">
        <f>IF('External layout'!A49="","",'External layout'!A49)</f>
        <v xml:space="preserve">Rudder_choord_ratio: </v>
      </c>
      <c r="H51" s="7">
        <f>IF('External layout'!B49="","",'External layout'!B49)</f>
        <v>0.25</v>
      </c>
      <c r="I51" s="7"/>
    </row>
    <row r="52" spans="6:9" x14ac:dyDescent="0.25">
      <c r="F52" s="7"/>
      <c r="G52" s="7" t="str">
        <f>IF('External layout'!A50="","",'External layout'!A50)</f>
        <v xml:space="preserve">Rudder_angle_maxup: </v>
      </c>
      <c r="H52" s="7">
        <f>IF('External layout'!B50="","",'External layout'!B50)</f>
        <v>20</v>
      </c>
      <c r="I52" s="7"/>
    </row>
    <row r="53" spans="6:9" x14ac:dyDescent="0.25">
      <c r="F53" s="7"/>
      <c r="G53" s="7" t="str">
        <f>IF('External layout'!A51="","",'External layout'!A51)</f>
        <v xml:space="preserve">Rudder_angle_maxdown: </v>
      </c>
      <c r="H53" s="7">
        <f>IF('External layout'!B51="","",'External layout'!B51)</f>
        <v>-20</v>
      </c>
      <c r="I53" s="7"/>
    </row>
    <row r="54" spans="6:9" x14ac:dyDescent="0.25">
      <c r="F54" s="7"/>
      <c r="G54" s="7" t="str">
        <f>IF('External layout'!A52="","",'External layout'!A52)</f>
        <v/>
      </c>
      <c r="H54" s="7" t="str">
        <f>IF('External layout'!B52="","",'External layout'!B52)</f>
        <v/>
      </c>
      <c r="I54" s="7"/>
    </row>
    <row r="55" spans="6:9" x14ac:dyDescent="0.25">
      <c r="F55" s="7"/>
      <c r="G55" s="7" t="str">
        <f>IF('External layout'!A53="","",'External layout'!A53)</f>
        <v/>
      </c>
      <c r="H55" s="7" t="str">
        <f>IF('External layout'!B53="","",'External layout'!B53)</f>
        <v/>
      </c>
      <c r="I55" s="7"/>
    </row>
    <row r="56" spans="6:9" x14ac:dyDescent="0.25">
      <c r="G56" s="7" t="str">
        <f>IF('External layout'!A54="","",'External layout'!A54)</f>
        <v>DRAG BREAKDOWN</v>
      </c>
      <c r="H56" s="7" t="str">
        <f>IF('External layout'!B54="","",'External layout'!B54)</f>
        <v/>
      </c>
    </row>
    <row r="57" spans="6:9" s="341" customFormat="1" x14ac:dyDescent="0.25">
      <c r="G57" s="7" t="str">
        <f>IF('External layout'!A55="","",'External layout'!A55)</f>
        <v xml:space="preserve">Wing: </v>
      </c>
      <c r="H57" s="7">
        <f>IF('External layout'!B55="","",'External layout'!B55)</f>
        <v>1.3301426817374491</v>
      </c>
    </row>
    <row r="58" spans="6:9" s="341" customFormat="1" x14ac:dyDescent="0.25">
      <c r="G58" s="7" t="str">
        <f>IF('External layout'!A56="","",'External layout'!A56)</f>
        <v xml:space="preserve">Hstab: </v>
      </c>
      <c r="H58" s="7">
        <f>IF('External layout'!B56="","",'External layout'!B56)</f>
        <v>9.619807608751553E-2</v>
      </c>
    </row>
    <row r="59" spans="6:9" s="341" customFormat="1" x14ac:dyDescent="0.25">
      <c r="G59" s="7" t="str">
        <f>IF('External layout'!A57="","",'External layout'!A57)</f>
        <v xml:space="preserve">Fuselage: </v>
      </c>
      <c r="H59" s="7">
        <f>IF('External layout'!B57="","",'External layout'!B57)</f>
        <v>0.63589724483929977</v>
      </c>
    </row>
    <row r="60" spans="6:9" s="341" customFormat="1" x14ac:dyDescent="0.25">
      <c r="G60" s="7" t="str">
        <f>IF('External layout'!A58="","",'External layout'!A58)</f>
        <v xml:space="preserve">Total: </v>
      </c>
      <c r="H60" s="7">
        <f>IF('External layout'!B58="","",'External layout'!B58)</f>
        <v>2.0622380026642646</v>
      </c>
    </row>
    <row r="61" spans="6:9" s="341" customFormat="1" x14ac:dyDescent="0.25">
      <c r="G61" s="7" t="str">
        <f>IF('External layout'!A59="","",'External layout'!A59)</f>
        <v/>
      </c>
      <c r="H61" s="7" t="str">
        <f>IF('External layout'!B59="","",'External layout'!B59)</f>
        <v/>
      </c>
    </row>
    <row r="62" spans="6:9" s="341" customFormat="1" x14ac:dyDescent="0.25">
      <c r="G62" s="7" t="str">
        <f>IF('External layout'!A60="","",'External layout'!A60)</f>
        <v/>
      </c>
      <c r="H62" s="7" t="str">
        <f>IF('External layout'!B60="","",'External layout'!B60)</f>
        <v/>
      </c>
    </row>
    <row r="63" spans="6:9" s="341" customFormat="1" x14ac:dyDescent="0.25">
      <c r="G63" s="7" t="str">
        <f>IF('External layout'!A61="","",'External layout'!A61)</f>
        <v>LONG STABILITY (TWO GIMBALS)</v>
      </c>
      <c r="H63" s="7" t="str">
        <f>IF('External layout'!B61="","",'External layout'!B61)</f>
        <v/>
      </c>
    </row>
    <row r="64" spans="6:9" s="341" customFormat="1" x14ac:dyDescent="0.25">
      <c r="G64" s="7" t="str">
        <f>IF('External layout'!A62="","",'External layout'!A62)</f>
        <v xml:space="preserve">Mass: </v>
      </c>
      <c r="H64" s="7">
        <f>IF('External layout'!B62="","",'External layout'!B62)</f>
        <v>2.1571999999999996</v>
      </c>
    </row>
    <row r="65" spans="7:8" s="341" customFormat="1" x14ac:dyDescent="0.25">
      <c r="G65" s="7" t="str">
        <f>IF('External layout'!A63="","",'External layout'!A63)</f>
        <v xml:space="preserve">Cm_alpha: </v>
      </c>
      <c r="H65" s="7">
        <f>IF('External layout'!B63="","",'External layout'!B63)</f>
        <v>-0.93568381689628144</v>
      </c>
    </row>
    <row r="66" spans="7:8" s="341" customFormat="1" x14ac:dyDescent="0.25">
      <c r="G66" s="7" t="str">
        <f>IF('External layout'!A64="","",'External layout'!A64)</f>
        <v xml:space="preserve">x_CG: </v>
      </c>
      <c r="H66" s="7">
        <f>IF('External layout'!B64="","",'External layout'!B64)</f>
        <v>0.51954023258218385</v>
      </c>
    </row>
    <row r="67" spans="7:8" s="341" customFormat="1" x14ac:dyDescent="0.25">
      <c r="G67" s="7" t="str">
        <f>IF('External layout'!A65="","",'External layout'!A65)</f>
        <v xml:space="preserve">NP: </v>
      </c>
      <c r="H67" s="7">
        <f>IF('External layout'!B65="","",'External layout'!B65)</f>
        <v>0.57385345480440619</v>
      </c>
    </row>
    <row r="68" spans="7:8" s="341" customFormat="1" x14ac:dyDescent="0.25">
      <c r="G68" s="7" t="str">
        <f>IF('External layout'!A66="","",'External layout'!A66)</f>
        <v xml:space="preserve">SM: </v>
      </c>
      <c r="H68" s="7">
        <f>IF('External layout'!B66="","",'External layout'!B66)</f>
        <v>5.4313222222222332E-2</v>
      </c>
    </row>
    <row r="69" spans="7:8" s="341" customFormat="1" x14ac:dyDescent="0.25">
      <c r="G69" s="7" t="str">
        <f>IF('External layout'!A67="","",'External layout'!A67)</f>
        <v/>
      </c>
      <c r="H69" s="7" t="str">
        <f>IF('External layout'!B67="","",'External layout'!B67)</f>
        <v/>
      </c>
    </row>
    <row r="70" spans="7:8" s="341" customFormat="1" x14ac:dyDescent="0.25">
      <c r="G70" s="7" t="str">
        <f>IF('External layout'!A68="","",'External layout'!A68)</f>
        <v/>
      </c>
      <c r="H70" s="7" t="str">
        <f>IF('External layout'!B68="","",'External layout'!B68)</f>
        <v/>
      </c>
    </row>
    <row r="71" spans="7:8" s="341" customFormat="1" x14ac:dyDescent="0.25">
      <c r="G71" s="7" t="str">
        <f>IF('External layout'!A69="","",'External layout'!A69)</f>
        <v/>
      </c>
      <c r="H71" s="7" t="str">
        <f>IF('External layout'!B69="","",'External layout'!B69)</f>
        <v/>
      </c>
    </row>
    <row r="72" spans="7:8" s="341" customFormat="1" x14ac:dyDescent="0.25">
      <c r="G72" s="7" t="str">
        <f>IF('External layout'!A70="","",'External layout'!A70)</f>
        <v/>
      </c>
      <c r="H72" s="7" t="str">
        <f>IF('External layout'!B70="","",'External layout'!B70)</f>
        <v/>
      </c>
    </row>
    <row r="73" spans="7:8" s="341" customFormat="1" x14ac:dyDescent="0.25">
      <c r="G73" s="7" t="str">
        <f>IF('External layout'!A71="","",'External layout'!A71)</f>
        <v/>
      </c>
      <c r="H73" s="7" t="str">
        <f>IF('External layout'!B71="","",'External layout'!B71)</f>
        <v/>
      </c>
    </row>
    <row r="74" spans="7:8" s="341" customFormat="1" x14ac:dyDescent="0.25">
      <c r="G74" s="7" t="str">
        <f>IF('External layout'!A72="","",'External layout'!A72)</f>
        <v/>
      </c>
      <c r="H74" s="7" t="str">
        <f>IF('External layout'!B72="","",'External layout'!B72)</f>
        <v/>
      </c>
    </row>
    <row r="75" spans="7:8" s="341" customFormat="1" x14ac:dyDescent="0.25">
      <c r="G75" s="7" t="str">
        <f>IF('External layout'!A73="","",'External layout'!A73)</f>
        <v/>
      </c>
      <c r="H75" s="7" t="str">
        <f>IF('External layout'!B73="","",'External layout'!B73)</f>
        <v/>
      </c>
    </row>
    <row r="76" spans="7:8" s="341" customFormat="1" x14ac:dyDescent="0.25">
      <c r="G76" s="7" t="str">
        <f>IF('External layout'!A74="","",'External layout'!A74)</f>
        <v/>
      </c>
      <c r="H76" s="7" t="str">
        <f>IF('External layout'!B74="","",'External layout'!B74)</f>
        <v/>
      </c>
    </row>
    <row r="77" spans="7:8" s="341" customFormat="1" x14ac:dyDescent="0.25">
      <c r="G77" s="7" t="str">
        <f>IF('External layout'!A75="","",'External layout'!A75)</f>
        <v/>
      </c>
      <c r="H77" s="7" t="str">
        <f>IF('External layout'!B75="","",'External layout'!B75)</f>
        <v/>
      </c>
    </row>
    <row r="78" spans="7:8" s="341" customFormat="1" x14ac:dyDescent="0.25">
      <c r="G78" s="7" t="str">
        <f>IF('External layout'!A76="","",'External layout'!A76)</f>
        <v/>
      </c>
      <c r="H78" s="7" t="str">
        <f>IF('External layout'!B76="","",'External layout'!B76)</f>
        <v/>
      </c>
    </row>
    <row r="79" spans="7:8" s="341" customFormat="1" x14ac:dyDescent="0.25">
      <c r="G79" s="7" t="str">
        <f>IF('External layout'!A77="","",'External layout'!A77)</f>
        <v/>
      </c>
      <c r="H79" s="7" t="str">
        <f>IF('External layout'!B77="","",'External layout'!B77)</f>
        <v/>
      </c>
    </row>
    <row r="80" spans="7:8" s="341" customFormat="1" x14ac:dyDescent="0.25"/>
    <row r="81" s="341" customFormat="1" x14ac:dyDescent="0.25"/>
    <row r="82" s="341" customFormat="1" x14ac:dyDescent="0.25"/>
    <row r="83" s="341" customFormat="1" x14ac:dyDescent="0.25"/>
    <row r="84" s="341" customFormat="1" x14ac:dyDescent="0.25"/>
    <row r="85" s="341" customFormat="1" x14ac:dyDescent="0.25"/>
    <row r="86" s="341" customFormat="1" x14ac:dyDescent="0.25"/>
    <row r="87" s="341" customFormat="1" x14ac:dyDescent="0.25"/>
    <row r="88" s="341" customFormat="1" x14ac:dyDescent="0.25"/>
    <row r="89" s="341" customFormat="1" x14ac:dyDescent="0.25"/>
    <row r="90" s="341" customFormat="1" x14ac:dyDescent="0.25"/>
    <row r="91" s="341" customFormat="1" x14ac:dyDescent="0.25"/>
    <row r="92" s="341" customFormat="1" x14ac:dyDescent="0.25"/>
    <row r="93" s="341" customFormat="1" x14ac:dyDescent="0.25"/>
    <row r="94" s="341" customFormat="1" x14ac:dyDescent="0.25"/>
    <row r="95" s="341" customFormat="1" x14ac:dyDescent="0.25"/>
    <row r="96" s="341" customFormat="1" x14ac:dyDescent="0.25"/>
    <row r="97" spans="1:21" s="341" customFormat="1" x14ac:dyDescent="0.25"/>
    <row r="98" spans="1:21" s="341" customFormat="1" x14ac:dyDescent="0.25"/>
    <row r="99" spans="1:21" s="341" customFormat="1" x14ac:dyDescent="0.25">
      <c r="F99" t="s">
        <v>2068</v>
      </c>
    </row>
    <row r="100" spans="1:21" s="341" customFormat="1" x14ac:dyDescent="0.25"/>
    <row r="101" spans="1:21" s="341" customFormat="1" x14ac:dyDescent="0.25"/>
    <row r="102" spans="1:21" s="341" customFormat="1" x14ac:dyDescent="0.25"/>
    <row r="103" spans="1:21" s="341" customFormat="1" x14ac:dyDescent="0.25"/>
    <row r="104" spans="1:21" s="341" customFormat="1" x14ac:dyDescent="0.25"/>
    <row r="105" spans="1:21" s="341" customFormat="1" x14ac:dyDescent="0.25"/>
    <row r="106" spans="1:21" s="341" customFormat="1" x14ac:dyDescent="0.25"/>
    <row r="107" spans="1:21" s="341" customFormat="1" ht="15.75" thickBot="1" x14ac:dyDescent="0.3"/>
    <row r="108" spans="1:21" s="180" customFormat="1" x14ac:dyDescent="0.25">
      <c r="A108" s="179" t="s">
        <v>2006</v>
      </c>
    </row>
    <row r="109" spans="1:21" x14ac:dyDescent="0.25">
      <c r="A109" s="59" t="s">
        <v>2040</v>
      </c>
      <c r="B109" t="s">
        <v>1999</v>
      </c>
      <c r="C109" t="s">
        <v>701</v>
      </c>
      <c r="D109" s="136"/>
      <c r="E109" s="136"/>
      <c r="O109" s="136"/>
      <c r="S109" s="135"/>
      <c r="T109" s="135"/>
      <c r="U109" s="135"/>
    </row>
    <row r="110" spans="1:21" x14ac:dyDescent="0.25">
      <c r="A110" t="s">
        <v>706</v>
      </c>
      <c r="B110">
        <f>H17*100/(T4)</f>
        <v>6.2367545202682999</v>
      </c>
      <c r="C110">
        <f>B110*12</f>
        <v>74.841054243219602</v>
      </c>
      <c r="D110" s="136"/>
      <c r="E110" s="136"/>
      <c r="H110" t="s">
        <v>1822</v>
      </c>
      <c r="O110" s="136"/>
      <c r="S110" s="135"/>
      <c r="T110" s="135"/>
      <c r="U110" s="135"/>
    </row>
    <row r="111" spans="1:21" x14ac:dyDescent="0.25">
      <c r="A111" t="s">
        <v>707</v>
      </c>
      <c r="B111">
        <f>H16*100/T4</f>
        <v>0.89096493146689959</v>
      </c>
      <c r="C111">
        <f>B111*12</f>
        <v>10.691579177602796</v>
      </c>
      <c r="D111" s="136"/>
      <c r="E111" s="136"/>
      <c r="O111" s="136"/>
      <c r="S111" s="135"/>
      <c r="T111" s="135"/>
      <c r="U111" s="135"/>
    </row>
    <row r="112" spans="1:21" ht="15.75" thickBot="1" x14ac:dyDescent="0.3">
      <c r="A112" s="59" t="s">
        <v>2041</v>
      </c>
      <c r="D112" s="136"/>
      <c r="E112" s="136"/>
      <c r="O112" s="136"/>
      <c r="S112" s="135"/>
      <c r="T112" s="135"/>
      <c r="U112" s="135"/>
    </row>
    <row r="113" spans="1:96" ht="15.75" thickBot="1" x14ac:dyDescent="0.3">
      <c r="A113" s="525" t="s">
        <v>2009</v>
      </c>
      <c r="B113" s="526"/>
      <c r="C113" s="526"/>
      <c r="D113" s="526"/>
      <c r="E113" s="527"/>
      <c r="G113" s="522" t="s">
        <v>2010</v>
      </c>
      <c r="H113" s="523"/>
      <c r="I113" s="523"/>
      <c r="J113" s="523"/>
      <c r="K113" s="524"/>
      <c r="M113" s="528" t="s">
        <v>2010</v>
      </c>
      <c r="N113" s="529"/>
      <c r="O113" s="529"/>
      <c r="P113" s="205"/>
      <c r="Q113" s="177"/>
      <c r="R113" s="206"/>
      <c r="S113" s="213"/>
      <c r="T113" s="207"/>
      <c r="U113" s="135"/>
    </row>
    <row r="114" spans="1:96" ht="19.5" thickBot="1" x14ac:dyDescent="0.35">
      <c r="A114" s="185" t="s">
        <v>1837</v>
      </c>
      <c r="B114" s="189" t="s">
        <v>1838</v>
      </c>
      <c r="C114" s="190" t="s">
        <v>1996</v>
      </c>
      <c r="D114" s="191"/>
      <c r="E114" s="192" t="s">
        <v>1995</v>
      </c>
      <c r="G114" s="182" t="s">
        <v>1837</v>
      </c>
      <c r="H114" s="176" t="s">
        <v>1838</v>
      </c>
      <c r="I114" s="175" t="s">
        <v>1994</v>
      </c>
      <c r="J114" s="174"/>
      <c r="K114" s="173" t="s">
        <v>1993</v>
      </c>
      <c r="M114" s="149" t="s">
        <v>1992</v>
      </c>
      <c r="N114" s="148" t="s">
        <v>2011</v>
      </c>
      <c r="O114" s="156"/>
      <c r="P114" s="149" t="s">
        <v>1991</v>
      </c>
      <c r="Q114" s="148" t="s">
        <v>1990</v>
      </c>
      <c r="R114" s="202" t="s">
        <v>1989</v>
      </c>
      <c r="S114" s="203" t="s">
        <v>2043</v>
      </c>
      <c r="T114" s="208" t="s">
        <v>2060</v>
      </c>
      <c r="U114" s="135"/>
      <c r="W114" t="s">
        <v>2060</v>
      </c>
      <c r="BD114" s="7" t="s">
        <v>1987</v>
      </c>
      <c r="BE114" s="7" t="s">
        <v>1986</v>
      </c>
      <c r="BF114" s="7" t="s">
        <v>723</v>
      </c>
      <c r="BG114" s="7" t="s">
        <v>1985</v>
      </c>
      <c r="BH114" s="7"/>
      <c r="BM114" t="s">
        <v>1984</v>
      </c>
      <c r="BR114" s="7"/>
      <c r="BS114" s="178" t="s">
        <v>1998</v>
      </c>
      <c r="BT114" s="178"/>
      <c r="BU114" s="178"/>
      <c r="BV114" s="7"/>
      <c r="CC114" s="135"/>
    </row>
    <row r="115" spans="1:96" ht="15.75" thickBot="1" x14ac:dyDescent="0.3">
      <c r="A115" s="187"/>
      <c r="B115" s="152"/>
      <c r="C115" s="152"/>
      <c r="D115" s="151"/>
      <c r="E115" s="150"/>
      <c r="G115" s="181"/>
      <c r="H115" s="156"/>
      <c r="I115" s="156"/>
      <c r="J115" s="156"/>
      <c r="K115" s="172"/>
      <c r="M115" s="171"/>
      <c r="N115" s="143" t="s">
        <v>1983</v>
      </c>
      <c r="O115" s="154"/>
      <c r="P115" s="209"/>
      <c r="Q115" s="156"/>
      <c r="R115" s="202"/>
      <c r="S115" s="203" t="s">
        <v>2053</v>
      </c>
      <c r="T115" s="208"/>
      <c r="U115" s="135"/>
      <c r="Y115" t="s">
        <v>2046</v>
      </c>
      <c r="Z115" t="s">
        <v>2045</v>
      </c>
      <c r="AA115" s="32" t="s">
        <v>2044</v>
      </c>
      <c r="AH115" t="s">
        <v>1982</v>
      </c>
      <c r="AI115" t="s">
        <v>1981</v>
      </c>
      <c r="AJ115" t="s">
        <v>1980</v>
      </c>
      <c r="AK115" s="70" t="s">
        <v>1979</v>
      </c>
      <c r="AL115" s="70" t="s">
        <v>1977</v>
      </c>
      <c r="AM115" s="111" t="s">
        <v>1978</v>
      </c>
      <c r="AN115" s="111" t="s">
        <v>1977</v>
      </c>
      <c r="BD115" s="7" t="s">
        <v>1976</v>
      </c>
      <c r="BE115" s="7">
        <v>1.3</v>
      </c>
      <c r="BF115" s="7" t="s">
        <v>1975</v>
      </c>
      <c r="BG115" s="7" t="s">
        <v>1974</v>
      </c>
      <c r="BH115" s="7"/>
      <c r="BM115" t="s">
        <v>1973</v>
      </c>
      <c r="BN115">
        <f>BE115*BA151</f>
        <v>0.57430557705248875</v>
      </c>
      <c r="BO115" t="s">
        <v>1942</v>
      </c>
      <c r="BR115" s="7" t="s">
        <v>1997</v>
      </c>
      <c r="BS115" s="7" t="s">
        <v>1975</v>
      </c>
      <c r="BT115" s="7">
        <v>9.2799999999999994</v>
      </c>
      <c r="BU115" s="7"/>
      <c r="BV115" s="7"/>
      <c r="CD115" s="218" t="s">
        <v>2016</v>
      </c>
      <c r="CE115" s="180"/>
      <c r="CF115" s="82"/>
      <c r="CG115" s="8" t="s">
        <v>705</v>
      </c>
      <c r="CH115" s="228">
        <f>Q128</f>
        <v>2.7259250271216091</v>
      </c>
      <c r="CI115" s="180"/>
      <c r="CJ115" s="180"/>
      <c r="CK115" s="180"/>
      <c r="CL115" s="229" t="s">
        <v>2098</v>
      </c>
      <c r="CM115" s="8" t="s">
        <v>705</v>
      </c>
      <c r="CN115" s="228">
        <f>Q134</f>
        <v>5.7009638490813632</v>
      </c>
      <c r="CO115" s="180"/>
      <c r="CP115" s="180"/>
      <c r="CQ115" s="180"/>
      <c r="CR115" s="229" t="s">
        <v>2099</v>
      </c>
    </row>
    <row r="116" spans="1:96" ht="15.75" x14ac:dyDescent="0.25">
      <c r="A116" s="186">
        <v>0</v>
      </c>
      <c r="B116" s="152">
        <v>0</v>
      </c>
      <c r="C116" s="152">
        <v>1</v>
      </c>
      <c r="D116" s="151">
        <f t="shared" ref="D116:D148" si="0">A116*$C$111</f>
        <v>0</v>
      </c>
      <c r="E116" s="150">
        <f t="shared" ref="E116:E148" si="1">B116*$C$111</f>
        <v>0</v>
      </c>
      <c r="G116" s="183">
        <v>0</v>
      </c>
      <c r="H116" s="156">
        <v>0</v>
      </c>
      <c r="I116" s="156">
        <v>1</v>
      </c>
      <c r="J116" s="148">
        <f t="shared" ref="J116:J144" si="2">G116*$C$111</f>
        <v>0</v>
      </c>
      <c r="K116" s="155">
        <f t="shared" ref="K116:K144" si="3">H116*$C$111</f>
        <v>0</v>
      </c>
      <c r="M116" s="149">
        <f>J116</f>
        <v>0</v>
      </c>
      <c r="N116" s="148">
        <f>K116</f>
        <v>0</v>
      </c>
      <c r="O116" s="148">
        <v>1</v>
      </c>
      <c r="P116" s="149">
        <f t="shared" ref="P116:P148" si="4">E116-N116</f>
        <v>0</v>
      </c>
      <c r="Q116" s="148">
        <f t="shared" ref="Q116:Q148" si="5">D116</f>
        <v>0</v>
      </c>
      <c r="R116" s="202">
        <f t="shared" ref="R116:R148" si="6">(Q116/$C$111)</f>
        <v>0</v>
      </c>
      <c r="S116" s="203">
        <f>(E116+N116)/2</f>
        <v>0</v>
      </c>
      <c r="T116" s="208"/>
      <c r="U116" s="135"/>
      <c r="Y116" s="212" t="s">
        <v>1962</v>
      </c>
      <c r="AG116" s="136">
        <f t="shared" ref="AG116:AG148" si="7">O116</f>
        <v>1</v>
      </c>
      <c r="AH116" s="136">
        <f t="shared" ref="AH116:AH148" si="8">Q116</f>
        <v>0</v>
      </c>
      <c r="AI116" s="136">
        <f t="shared" ref="AI116:AI148" si="9">N116</f>
        <v>0</v>
      </c>
      <c r="AJ116" s="136">
        <f t="shared" ref="AJ116:AJ148" si="10">E116</f>
        <v>0</v>
      </c>
      <c r="AK116" s="70"/>
      <c r="AL116" s="70"/>
      <c r="AM116" s="111"/>
      <c r="AN116" s="111"/>
      <c r="AO116" s="142" t="s">
        <v>1970</v>
      </c>
      <c r="AP116" s="142"/>
      <c r="AR116" t="s">
        <v>1969</v>
      </c>
      <c r="AS116" t="s">
        <v>1968</v>
      </c>
      <c r="AW116" s="59" t="s">
        <v>1967</v>
      </c>
      <c r="AZ116" s="59" t="s">
        <v>1966</v>
      </c>
      <c r="BD116" s="7" t="s">
        <v>1962</v>
      </c>
      <c r="BE116" s="7">
        <v>3.625</v>
      </c>
      <c r="BF116" s="7" t="s">
        <v>1965</v>
      </c>
      <c r="BG116" s="170" t="s">
        <v>1960</v>
      </c>
      <c r="BH116" s="7"/>
      <c r="BM116" t="s">
        <v>1964</v>
      </c>
      <c r="BN116">
        <f>BE117*B110</f>
        <v>4.9842567345467888E-2</v>
      </c>
      <c r="BO116" t="s">
        <v>1942</v>
      </c>
      <c r="BR116" s="7" t="s">
        <v>1997</v>
      </c>
      <c r="BS116" s="7" t="s">
        <v>1971</v>
      </c>
      <c r="BT116" s="7">
        <f>BT115*((1/12)^3)</f>
        <v>5.37037037037037E-3</v>
      </c>
      <c r="BU116" s="7"/>
      <c r="BV116" s="7"/>
      <c r="CD116" s="219">
        <f t="shared" ref="CD116:CD148" si="11">P116*(Q117-Q116)</f>
        <v>0</v>
      </c>
      <c r="CE116" s="220">
        <f t="shared" ref="CE116:CE148" si="12">O116</f>
        <v>1</v>
      </c>
      <c r="CF116" s="76"/>
      <c r="CG116" s="11" t="s">
        <v>706</v>
      </c>
      <c r="CH116" s="166">
        <f>S128</f>
        <v>0.39815244721614995</v>
      </c>
      <c r="CI116" s="42"/>
      <c r="CJ116" s="42"/>
      <c r="CK116" s="42"/>
      <c r="CL116" s="76"/>
      <c r="CM116" s="11" t="s">
        <v>706</v>
      </c>
      <c r="CN116" s="166">
        <f>S134</f>
        <v>0.39616287543559164</v>
      </c>
      <c r="CO116" s="42"/>
      <c r="CP116" s="42"/>
      <c r="CQ116" s="42"/>
      <c r="CR116" s="76"/>
    </row>
    <row r="117" spans="1:96" ht="15.75" x14ac:dyDescent="0.25">
      <c r="A117" s="186">
        <v>1.0300000000000001E-3</v>
      </c>
      <c r="B117" s="152">
        <v>7.11E-3</v>
      </c>
      <c r="C117" s="152">
        <v>2</v>
      </c>
      <c r="D117" s="151">
        <f t="shared" si="0"/>
        <v>1.1012326552930881E-2</v>
      </c>
      <c r="E117" s="150">
        <f t="shared" si="1"/>
        <v>7.6017127952755878E-2</v>
      </c>
      <c r="G117" s="183">
        <v>4.2500000000000003E-3</v>
      </c>
      <c r="H117" s="156">
        <v>-1.115E-2</v>
      </c>
      <c r="I117" s="156">
        <v>2</v>
      </c>
      <c r="J117" s="148">
        <f t="shared" si="2"/>
        <v>4.5439211504811887E-2</v>
      </c>
      <c r="K117" s="155">
        <f t="shared" si="3"/>
        <v>-0.11921110783027117</v>
      </c>
      <c r="M117" s="149">
        <f>D117</f>
        <v>1.1012326552930881E-2</v>
      </c>
      <c r="N117" s="148">
        <f t="shared" ref="N117:N127" si="13">((K117-K116)/(J117-J116))*(M117-J116)+K116</f>
        <v>-2.88911626035716E-2</v>
      </c>
      <c r="O117" s="148">
        <v>2</v>
      </c>
      <c r="P117" s="149">
        <f t="shared" si="4"/>
        <v>0.10490829055632747</v>
      </c>
      <c r="Q117" s="148">
        <f t="shared" si="5"/>
        <v>1.1012326552930881E-2</v>
      </c>
      <c r="R117" s="202">
        <f t="shared" si="6"/>
        <v>1.0300000000000001E-3</v>
      </c>
      <c r="S117" s="203">
        <f t="shared" ref="S117:S148" si="14">(E117+N117)/2</f>
        <v>2.3562982674592139E-2</v>
      </c>
      <c r="T117" s="208"/>
      <c r="U117" s="135"/>
      <c r="V117" s="135"/>
      <c r="Y117" s="212" t="s">
        <v>2047</v>
      </c>
      <c r="AA117" t="s">
        <v>2054</v>
      </c>
      <c r="AB117">
        <v>0.312</v>
      </c>
      <c r="AG117" s="136">
        <f t="shared" si="7"/>
        <v>2</v>
      </c>
      <c r="AH117" s="136">
        <f t="shared" si="8"/>
        <v>1.1012326552930881E-2</v>
      </c>
      <c r="AI117" s="136">
        <f t="shared" si="9"/>
        <v>-2.88911626035716E-2</v>
      </c>
      <c r="AJ117" s="136">
        <f t="shared" si="10"/>
        <v>7.6017127952755878E-2</v>
      </c>
      <c r="AK117" s="70">
        <f t="shared" ref="AK117:AK148" si="15">ATAN((AI117-AI116)/(AH117-AH116))</f>
        <v>-1.2066309074867423</v>
      </c>
      <c r="AL117" s="70">
        <f t="shared" ref="AL117:AL148" si="16">AK117*180/(PI())</f>
        <v>-69.134858429030814</v>
      </c>
      <c r="AM117" s="111">
        <f t="shared" ref="AM117:AM148" si="17">ATAN((AJ117-AJ116)/(AH117-AH116))</f>
        <v>1.426930770796375</v>
      </c>
      <c r="AN117" s="111">
        <f t="shared" ref="AN117:AN148" si="18">AM117*180/(PI())</f>
        <v>81.757110823981719</v>
      </c>
      <c r="AO117" s="142">
        <f t="shared" ref="AO117:AO148" si="19">ATAN2(AJ117-AJ116,AH117-AH116)</f>
        <v>0.14386555599852174</v>
      </c>
      <c r="AP117" s="142">
        <f t="shared" ref="AP117:AP148" si="20">AO117*180/(PI())</f>
        <v>8.2428891760183003</v>
      </c>
      <c r="AR117" s="111">
        <f t="shared" ref="AR117:AR148" si="21">((((E117-E116)^2+(D117-D116)^2)^(1/2)))</f>
        <v>7.6810644303338879E-2</v>
      </c>
      <c r="AS117" s="70">
        <f t="shared" ref="AS117:AS148" si="22">(((N117-N116)^2+(M117-M116)^2)^(1/2))</f>
        <v>3.0918774437134481E-2</v>
      </c>
      <c r="AW117">
        <f t="shared" ref="AW117:AW147" si="23">AR117*E117</f>
        <v>5.8389245761405308E-3</v>
      </c>
      <c r="AX117">
        <f t="shared" ref="AX117:AX147" si="24">AS117*ABS(N117)</f>
        <v>8.932793397664053E-4</v>
      </c>
      <c r="AZ117">
        <f t="shared" ref="AZ117:AZ148" si="25">AW117*$C$110</f>
        <v>0.43699127092500151</v>
      </c>
      <c r="BA117">
        <f t="shared" ref="BA117:BA148" si="26">AX117*$C$110</f>
        <v>6.6853967521804933E-2</v>
      </c>
      <c r="BD117" s="7" t="s">
        <v>1962</v>
      </c>
      <c r="BE117">
        <v>7.9917475000000002E-3</v>
      </c>
      <c r="BF117" s="7" t="s">
        <v>1961</v>
      </c>
      <c r="BG117" s="170" t="s">
        <v>1960</v>
      </c>
      <c r="BH117" s="7"/>
      <c r="BR117" s="7" t="s">
        <v>1988</v>
      </c>
      <c r="BS117" s="7" t="s">
        <v>1971</v>
      </c>
      <c r="BT117" s="7">
        <f>6/(12^3)</f>
        <v>3.472222222222222E-3</v>
      </c>
      <c r="BV117" s="7"/>
      <c r="CC117" s="89"/>
      <c r="CD117" s="221">
        <f t="shared" si="11"/>
        <v>5.1483060034530001E-3</v>
      </c>
      <c r="CE117" s="222">
        <f t="shared" si="12"/>
        <v>2</v>
      </c>
      <c r="CF117" s="215"/>
      <c r="CG117" s="77"/>
      <c r="CH117" s="42"/>
      <c r="CI117" s="42"/>
      <c r="CJ117" s="19"/>
      <c r="CK117" s="19"/>
      <c r="CL117" s="215"/>
      <c r="CM117" s="230"/>
      <c r="CN117" s="42"/>
      <c r="CO117" s="42"/>
      <c r="CP117" s="42"/>
      <c r="CQ117" s="42"/>
      <c r="CR117" s="76"/>
    </row>
    <row r="118" spans="1:96" ht="15.75" x14ac:dyDescent="0.25">
      <c r="A118" s="186">
        <v>5.62E-3</v>
      </c>
      <c r="B118" s="152">
        <v>1.8710000000000001E-2</v>
      </c>
      <c r="C118" s="152">
        <v>3</v>
      </c>
      <c r="D118" s="233">
        <f t="shared" si="0"/>
        <v>6.008667497812771E-2</v>
      </c>
      <c r="E118" s="150">
        <f t="shared" si="1"/>
        <v>0.20003944641294832</v>
      </c>
      <c r="G118" s="183">
        <v>1.414E-2</v>
      </c>
      <c r="H118" s="156">
        <v>-1.7010000000000001E-2</v>
      </c>
      <c r="I118" s="156">
        <v>3</v>
      </c>
      <c r="J118" s="148">
        <f t="shared" si="2"/>
        <v>0.15117892957130352</v>
      </c>
      <c r="K118" s="155">
        <f t="shared" si="3"/>
        <v>-0.18186376181102357</v>
      </c>
      <c r="M118" s="149">
        <f t="shared" ref="M118:M148" si="27">D118</f>
        <v>6.008667497812771E-2</v>
      </c>
      <c r="N118" s="148">
        <f t="shared" si="13"/>
        <v>-0.12788998911981928</v>
      </c>
      <c r="O118" s="148">
        <v>3</v>
      </c>
      <c r="P118" s="149">
        <f t="shared" si="4"/>
        <v>0.3279294355327676</v>
      </c>
      <c r="Q118" s="148">
        <f t="shared" si="5"/>
        <v>6.008667497812771E-2</v>
      </c>
      <c r="R118" s="202">
        <f t="shared" si="6"/>
        <v>5.62E-3</v>
      </c>
      <c r="S118" s="203">
        <f t="shared" si="14"/>
        <v>3.6074728646564524E-2</v>
      </c>
      <c r="T118" s="208"/>
      <c r="U118" s="135"/>
      <c r="V118" s="135"/>
      <c r="Y118" s="212" t="s">
        <v>2048</v>
      </c>
      <c r="AA118" t="s">
        <v>2055</v>
      </c>
      <c r="AB118">
        <v>0.23599999999999999</v>
      </c>
      <c r="AG118" s="136">
        <f t="shared" si="7"/>
        <v>3</v>
      </c>
      <c r="AH118" s="136">
        <f t="shared" si="8"/>
        <v>6.008667497812771E-2</v>
      </c>
      <c r="AI118" s="136">
        <f t="shared" si="9"/>
        <v>-0.12788998911981928</v>
      </c>
      <c r="AJ118" s="136">
        <f t="shared" si="10"/>
        <v>0.20003944641294832</v>
      </c>
      <c r="AK118" s="70">
        <f t="shared" si="15"/>
        <v>-1.1105895217132049</v>
      </c>
      <c r="AL118" s="70">
        <f t="shared" si="16"/>
        <v>-63.632092365619343</v>
      </c>
      <c r="AM118" s="111">
        <f t="shared" si="17"/>
        <v>1.1940112781430132</v>
      </c>
      <c r="AN118" s="111">
        <f t="shared" si="18"/>
        <v>68.41180692861569</v>
      </c>
      <c r="AO118" s="142">
        <f t="shared" si="19"/>
        <v>0.37678504865188334</v>
      </c>
      <c r="AP118" s="142">
        <f t="shared" si="20"/>
        <v>21.588193071384303</v>
      </c>
      <c r="AR118" s="111">
        <f t="shared" si="21"/>
        <v>0.13337851082389177</v>
      </c>
      <c r="AS118" s="70">
        <f t="shared" si="22"/>
        <v>0.11049461219874804</v>
      </c>
      <c r="AW118">
        <f t="shared" si="23"/>
        <v>2.6680963468594745E-2</v>
      </c>
      <c r="AX118">
        <f t="shared" si="24"/>
        <v>1.4131154751896536E-2</v>
      </c>
      <c r="AZ118">
        <f t="shared" si="25"/>
        <v>1.99683143421446</v>
      </c>
      <c r="BA118">
        <f t="shared" si="26"/>
        <v>1.0575905193060191</v>
      </c>
      <c r="BD118" s="7"/>
      <c r="BE118" s="7"/>
      <c r="BF118" s="7"/>
      <c r="BG118" s="7"/>
      <c r="BH118" s="7"/>
      <c r="BR118" s="7" t="s">
        <v>1972</v>
      </c>
      <c r="BS118" s="19" t="s">
        <v>1975</v>
      </c>
      <c r="BT118" s="7">
        <f>16.1</f>
        <v>16.100000000000001</v>
      </c>
      <c r="BU118" s="7"/>
      <c r="BV118" s="7"/>
      <c r="CD118" s="219">
        <f t="shared" si="11"/>
        <v>2.9731588289160695E-2</v>
      </c>
      <c r="CE118" s="220">
        <f t="shared" si="12"/>
        <v>3</v>
      </c>
      <c r="CF118" s="76"/>
      <c r="CG118" s="230" t="s">
        <v>2056</v>
      </c>
      <c r="CH118" s="19">
        <v>0.01</v>
      </c>
      <c r="CI118" s="19"/>
      <c r="CJ118" s="42" t="s">
        <v>2095</v>
      </c>
      <c r="CK118" s="288" t="s">
        <v>2096</v>
      </c>
      <c r="CL118" s="289" t="s">
        <v>2097</v>
      </c>
      <c r="CM118" s="230" t="s">
        <v>2056</v>
      </c>
      <c r="CN118" s="19">
        <v>0.01</v>
      </c>
      <c r="CO118" s="19"/>
      <c r="CP118" s="42" t="s">
        <v>2095</v>
      </c>
      <c r="CQ118" s="288" t="s">
        <v>2096</v>
      </c>
      <c r="CR118" s="289" t="s">
        <v>2097</v>
      </c>
    </row>
    <row r="119" spans="1:96" x14ac:dyDescent="0.25">
      <c r="A119" s="186">
        <v>1.41E-2</v>
      </c>
      <c r="B119" s="152">
        <v>3.0810000000000001E-2</v>
      </c>
      <c r="C119" s="152">
        <v>4</v>
      </c>
      <c r="D119" s="151">
        <f t="shared" si="0"/>
        <v>0.15075126640419942</v>
      </c>
      <c r="E119" s="150">
        <f t="shared" si="1"/>
        <v>0.32940755446194214</v>
      </c>
      <c r="G119" s="183">
        <v>2.9909999999999999E-2</v>
      </c>
      <c r="H119" s="156">
        <v>-2.205E-2</v>
      </c>
      <c r="I119" s="156">
        <v>4</v>
      </c>
      <c r="J119" s="148">
        <f t="shared" si="2"/>
        <v>0.31978513320209961</v>
      </c>
      <c r="K119" s="155">
        <f t="shared" si="3"/>
        <v>-0.23574932086614164</v>
      </c>
      <c r="M119" s="149">
        <f t="shared" si="27"/>
        <v>0.15075126640419942</v>
      </c>
      <c r="N119" s="148">
        <f t="shared" si="13"/>
        <v>-0.18172708315774488</v>
      </c>
      <c r="O119" s="148">
        <v>4</v>
      </c>
      <c r="P119" s="149">
        <f t="shared" si="4"/>
        <v>0.51113463761968703</v>
      </c>
      <c r="Q119" s="148">
        <f t="shared" si="5"/>
        <v>0.15075126640419942</v>
      </c>
      <c r="R119" s="202">
        <f t="shared" si="6"/>
        <v>1.41E-2</v>
      </c>
      <c r="S119" s="203">
        <f t="shared" si="14"/>
        <v>7.3840235652098629E-2</v>
      </c>
      <c r="T119" s="208"/>
      <c r="U119" s="135"/>
      <c r="V119" s="135"/>
      <c r="AG119" s="136">
        <f t="shared" si="7"/>
        <v>4</v>
      </c>
      <c r="AH119" s="136">
        <f t="shared" si="8"/>
        <v>0.15075126640419942</v>
      </c>
      <c r="AI119" s="136">
        <f t="shared" si="9"/>
        <v>-0.18172708315774488</v>
      </c>
      <c r="AJ119" s="136">
        <f t="shared" si="10"/>
        <v>0.32940755446194214</v>
      </c>
      <c r="AK119" s="70">
        <f t="shared" si="15"/>
        <v>-0.5358519528246134</v>
      </c>
      <c r="AL119" s="70">
        <f t="shared" si="16"/>
        <v>-30.70205534069364</v>
      </c>
      <c r="AM119" s="111">
        <f t="shared" si="17"/>
        <v>0.95951591580027118</v>
      </c>
      <c r="AN119" s="111">
        <f t="shared" si="18"/>
        <v>54.976212350985605</v>
      </c>
      <c r="AO119" s="142">
        <f t="shared" si="19"/>
        <v>0.61128041099462538</v>
      </c>
      <c r="AP119" s="142">
        <f t="shared" si="20"/>
        <v>35.023787649014395</v>
      </c>
      <c r="AR119" s="111">
        <f t="shared" si="21"/>
        <v>0.15797523704249553</v>
      </c>
      <c r="AS119" s="70">
        <f t="shared" si="22"/>
        <v>0.10544430204095885</v>
      </c>
      <c r="AW119">
        <f t="shared" si="23"/>
        <v>5.2038236499714063E-2</v>
      </c>
      <c r="AX119">
        <f t="shared" si="24"/>
        <v>1.9162085445507699E-2</v>
      </c>
      <c r="AZ119">
        <f t="shared" si="25"/>
        <v>3.8945964805965905</v>
      </c>
      <c r="BA119">
        <f t="shared" si="26"/>
        <v>1.4341106762404505</v>
      </c>
      <c r="BD119" s="7"/>
      <c r="BE119" s="7"/>
      <c r="BF119" s="7"/>
      <c r="BG119" s="7"/>
      <c r="BH119" s="7"/>
      <c r="BR119" s="7" t="s">
        <v>1972</v>
      </c>
      <c r="BS119" s="7" t="s">
        <v>1971</v>
      </c>
      <c r="BT119" s="7">
        <f>BT118*((1/12)^3)</f>
        <v>9.3171296296296301E-3</v>
      </c>
      <c r="BU119" s="7"/>
      <c r="BV119" s="7"/>
      <c r="CD119" s="219">
        <f t="shared" si="11"/>
        <v>6.7763971961724831E-2</v>
      </c>
      <c r="CE119" s="220">
        <f t="shared" si="12"/>
        <v>4</v>
      </c>
      <c r="CF119" s="76"/>
      <c r="CG119" s="230" t="s">
        <v>2056</v>
      </c>
      <c r="CH119" s="42" t="s">
        <v>2057</v>
      </c>
      <c r="CI119" s="42" t="s">
        <v>2058</v>
      </c>
      <c r="CJ119" s="42" t="s">
        <v>2059</v>
      </c>
      <c r="CK119" s="42" t="s">
        <v>2057</v>
      </c>
      <c r="CL119" s="76" t="s">
        <v>2058</v>
      </c>
      <c r="CM119" s="230" t="s">
        <v>2056</v>
      </c>
      <c r="CN119" s="42" t="s">
        <v>2057</v>
      </c>
      <c r="CO119" s="42" t="s">
        <v>2058</v>
      </c>
      <c r="CP119" s="42" t="s">
        <v>2059</v>
      </c>
      <c r="CQ119" s="42" t="s">
        <v>2057</v>
      </c>
      <c r="CR119" s="76" t="s">
        <v>2058</v>
      </c>
    </row>
    <row r="120" spans="1:96" x14ac:dyDescent="0.25">
      <c r="A120" s="186">
        <v>2.6499999999999999E-2</v>
      </c>
      <c r="B120" s="152">
        <v>4.2999999999999997E-2</v>
      </c>
      <c r="C120" s="152">
        <v>5</v>
      </c>
      <c r="D120" s="151">
        <f t="shared" si="0"/>
        <v>0.28332684820647408</v>
      </c>
      <c r="E120" s="150">
        <f t="shared" si="1"/>
        <v>0.45973790463692016</v>
      </c>
      <c r="G120" s="183">
        <v>5.0990000000000001E-2</v>
      </c>
      <c r="H120" s="156">
        <v>-2.623E-2</v>
      </c>
      <c r="I120" s="156">
        <v>5</v>
      </c>
      <c r="J120" s="148">
        <f t="shared" si="2"/>
        <v>0.5451636222659666</v>
      </c>
      <c r="K120" s="155">
        <f t="shared" si="3"/>
        <v>-0.28044012182852135</v>
      </c>
      <c r="M120" s="149">
        <f t="shared" si="27"/>
        <v>0.28332684820647408</v>
      </c>
      <c r="N120" s="148">
        <f t="shared" si="13"/>
        <v>-0.2285199265928155</v>
      </c>
      <c r="O120" s="148">
        <v>5</v>
      </c>
      <c r="P120" s="149">
        <f t="shared" si="4"/>
        <v>0.68825783122973561</v>
      </c>
      <c r="Q120" s="148">
        <f t="shared" si="5"/>
        <v>0.28332684820647408</v>
      </c>
      <c r="R120" s="202">
        <f t="shared" si="6"/>
        <v>2.6499999999999999E-2</v>
      </c>
      <c r="S120" s="203">
        <f t="shared" si="14"/>
        <v>0.11560898902205233</v>
      </c>
      <c r="T120" s="208"/>
      <c r="U120" s="135"/>
      <c r="V120" s="135"/>
      <c r="AG120" s="136">
        <f t="shared" si="7"/>
        <v>5</v>
      </c>
      <c r="AH120" s="136">
        <f t="shared" si="8"/>
        <v>0.28332684820647408</v>
      </c>
      <c r="AI120" s="136">
        <f t="shared" si="9"/>
        <v>-0.2285199265928155</v>
      </c>
      <c r="AJ120" s="136">
        <f t="shared" si="10"/>
        <v>0.45973790463692016</v>
      </c>
      <c r="AK120" s="70">
        <f t="shared" si="15"/>
        <v>-0.33930241803316458</v>
      </c>
      <c r="AL120" s="70">
        <f t="shared" si="16"/>
        <v>-19.440596531883884</v>
      </c>
      <c r="AM120" s="111">
        <f t="shared" si="17"/>
        <v>0.77685831407075745</v>
      </c>
      <c r="AN120" s="111">
        <f t="shared" si="18"/>
        <v>44.510702675902984</v>
      </c>
      <c r="AO120" s="142">
        <f t="shared" si="19"/>
        <v>0.79393801272413911</v>
      </c>
      <c r="AP120" s="142">
        <f t="shared" si="20"/>
        <v>45.489297324097024</v>
      </c>
      <c r="AR120" s="111">
        <f t="shared" si="21"/>
        <v>0.18590934636791132</v>
      </c>
      <c r="AS120" s="70">
        <f t="shared" si="22"/>
        <v>0.14059109177665083</v>
      </c>
      <c r="AW120">
        <f t="shared" si="23"/>
        <v>8.5469573351602976E-2</v>
      </c>
      <c r="AX120">
        <f t="shared" si="24"/>
        <v>3.2127865972404038E-2</v>
      </c>
      <c r="AZ120">
        <f t="shared" si="25"/>
        <v>6.3966329753521549</v>
      </c>
      <c r="BA120">
        <f t="shared" si="26"/>
        <v>2.4044833599595798</v>
      </c>
      <c r="BD120" s="7"/>
      <c r="BE120" s="7"/>
      <c r="BF120" s="7"/>
      <c r="BG120" s="7"/>
      <c r="BH120" s="7"/>
      <c r="BR120" s="7" t="s">
        <v>1959</v>
      </c>
      <c r="BS120" s="19" t="s">
        <v>1963</v>
      </c>
      <c r="BT120" s="7">
        <v>4.5335840000000003</v>
      </c>
      <c r="BU120" s="7"/>
      <c r="BV120" s="7"/>
      <c r="CD120" s="219">
        <f t="shared" si="11"/>
        <v>0.11935589343654993</v>
      </c>
      <c r="CE120" s="220">
        <f t="shared" si="12"/>
        <v>5</v>
      </c>
      <c r="CF120" s="76"/>
      <c r="CG120" s="221"/>
      <c r="CH120" s="42"/>
      <c r="CI120" s="42"/>
      <c r="CJ120" s="42"/>
      <c r="CK120" s="42"/>
      <c r="CL120" s="76"/>
      <c r="CM120" s="77"/>
      <c r="CN120" s="42"/>
      <c r="CO120" s="42"/>
      <c r="CP120" s="42"/>
      <c r="CQ120" s="42"/>
      <c r="CR120" s="76"/>
    </row>
    <row r="121" spans="1:96" x14ac:dyDescent="0.25">
      <c r="A121" s="186">
        <v>4.2720000000000001E-2</v>
      </c>
      <c r="B121" s="152">
        <v>5.491E-2</v>
      </c>
      <c r="C121" s="152">
        <v>6</v>
      </c>
      <c r="D121" s="151">
        <f t="shared" si="0"/>
        <v>0.45674426246719141</v>
      </c>
      <c r="E121" s="150">
        <f t="shared" si="1"/>
        <v>0.58707461264216954</v>
      </c>
      <c r="G121" s="183">
        <v>7.7100000000000002E-2</v>
      </c>
      <c r="H121" s="156">
        <v>-2.9479999999999999E-2</v>
      </c>
      <c r="I121" s="156">
        <v>6</v>
      </c>
      <c r="J121" s="148">
        <f t="shared" si="2"/>
        <v>0.82432075459317555</v>
      </c>
      <c r="K121" s="155">
        <f t="shared" si="3"/>
        <v>-0.31518775415573042</v>
      </c>
      <c r="M121" s="149">
        <f t="shared" si="27"/>
        <v>0.45674426246719141</v>
      </c>
      <c r="N121" s="148">
        <f t="shared" si="13"/>
        <v>-0.26943426509370638</v>
      </c>
      <c r="O121" s="148">
        <v>6</v>
      </c>
      <c r="P121" s="149">
        <f t="shared" si="4"/>
        <v>0.85650887773587592</v>
      </c>
      <c r="Q121" s="148">
        <f t="shared" si="5"/>
        <v>0.45674426246719141</v>
      </c>
      <c r="R121" s="202">
        <f t="shared" si="6"/>
        <v>4.2720000000000001E-2</v>
      </c>
      <c r="S121" s="203">
        <f t="shared" si="14"/>
        <v>0.15882017377423158</v>
      </c>
      <c r="T121" s="208"/>
      <c r="U121" s="135"/>
      <c r="V121" s="135"/>
      <c r="Y121" t="s">
        <v>2040</v>
      </c>
      <c r="Z121" t="s">
        <v>2049</v>
      </c>
      <c r="AA121" s="32" t="s">
        <v>2050</v>
      </c>
      <c r="AG121" s="136">
        <f t="shared" si="7"/>
        <v>6</v>
      </c>
      <c r="AH121" s="136">
        <f t="shared" si="8"/>
        <v>0.45674426246719141</v>
      </c>
      <c r="AI121" s="136">
        <f t="shared" si="9"/>
        <v>-0.26943426509370638</v>
      </c>
      <c r="AJ121" s="136">
        <f t="shared" si="10"/>
        <v>0.58707461264216954</v>
      </c>
      <c r="AK121" s="70">
        <f t="shared" si="15"/>
        <v>-0.23169293125956938</v>
      </c>
      <c r="AL121" s="70">
        <f t="shared" si="16"/>
        <v>-13.275027104188027</v>
      </c>
      <c r="AM121" s="111">
        <f t="shared" si="17"/>
        <v>0.63336329887184584</v>
      </c>
      <c r="AN121" s="111">
        <f t="shared" si="18"/>
        <v>36.289043923839742</v>
      </c>
      <c r="AO121" s="142">
        <f t="shared" si="19"/>
        <v>0.93743302792305083</v>
      </c>
      <c r="AP121" s="142">
        <f t="shared" si="20"/>
        <v>53.710956076160272</v>
      </c>
      <c r="AR121" s="111">
        <f t="shared" si="21"/>
        <v>0.21514701200455327</v>
      </c>
      <c r="AS121" s="70">
        <f t="shared" si="22"/>
        <v>0.17817851347409633</v>
      </c>
      <c r="AW121">
        <f t="shared" si="23"/>
        <v>0.12630734873369331</v>
      </c>
      <c r="AX121">
        <f t="shared" si="24"/>
        <v>4.8007396833382204E-2</v>
      </c>
      <c r="AZ121">
        <f t="shared" si="25"/>
        <v>9.4529751378955957</v>
      </c>
      <c r="BA121">
        <f t="shared" si="26"/>
        <v>3.5929241904829263</v>
      </c>
      <c r="BD121" s="7"/>
      <c r="BE121" s="7"/>
      <c r="BF121" s="7"/>
      <c r="BG121" s="7"/>
      <c r="BH121" s="7"/>
      <c r="BR121" s="7" t="s">
        <v>1959</v>
      </c>
      <c r="BS121" s="7" t="s">
        <v>1958</v>
      </c>
      <c r="BT121">
        <f>BT120*(12^2)</f>
        <v>652.836096</v>
      </c>
      <c r="BU121" s="7"/>
      <c r="BV121" s="7"/>
      <c r="CD121" s="219">
        <f t="shared" si="11"/>
        <v>0.18287392667817756</v>
      </c>
      <c r="CE121" s="223">
        <f t="shared" si="12"/>
        <v>6</v>
      </c>
      <c r="CF121" s="76"/>
      <c r="CG121" s="221">
        <f>-AB123/2</f>
        <v>-0.127</v>
      </c>
      <c r="CH121" s="204">
        <f t="shared" ref="CH121:CH147" si="28">SQRT((($AB$123/2)^2)-((CG121^2)))</f>
        <v>0</v>
      </c>
      <c r="CI121" s="42">
        <f t="shared" ref="CI121:CI147" si="29">-SQRT((($AB$123/2)^2)-((CG121^2)))</f>
        <v>0</v>
      </c>
      <c r="CJ121" s="204">
        <f t="shared" ref="CJ121:CJ147" si="30">CG121+$CH$115</f>
        <v>2.5989250271216093</v>
      </c>
      <c r="CK121" s="204">
        <f t="shared" ref="CK121:CK147" si="31">CH121+$CH$116</f>
        <v>0.39815244721614995</v>
      </c>
      <c r="CL121" s="214">
        <f t="shared" ref="CL121:CL147" si="32">CI121+$CH$116</f>
        <v>0.39815244721614995</v>
      </c>
      <c r="CM121" s="77">
        <f>-AB123/2</f>
        <v>-0.127</v>
      </c>
      <c r="CN121" s="204">
        <f t="shared" ref="CN121:CN147" si="33">SQRT((($AB$123/2)^2)-((CM121^2)))</f>
        <v>0</v>
      </c>
      <c r="CO121" s="42">
        <f t="shared" ref="CO121:CO147" si="34">-SQRT((($AB$123/2)^2)-((CM121^2)))</f>
        <v>0</v>
      </c>
      <c r="CP121" s="204">
        <f>CM121+$CN$115</f>
        <v>5.5739638490813634</v>
      </c>
      <c r="CQ121" s="204">
        <f>CN121+$CN$116</f>
        <v>0.39616287543559164</v>
      </c>
      <c r="CR121" s="214">
        <f>CO121+$CN$116</f>
        <v>0.39616287543559164</v>
      </c>
    </row>
    <row r="122" spans="1:96" ht="15.75" x14ac:dyDescent="0.25">
      <c r="A122" s="186">
        <v>6.2689999999999996E-2</v>
      </c>
      <c r="B122" s="152">
        <v>6.6159999999999997E-2</v>
      </c>
      <c r="C122" s="152">
        <v>7</v>
      </c>
      <c r="D122" s="151">
        <f t="shared" si="0"/>
        <v>0.67025509864391919</v>
      </c>
      <c r="E122" s="150">
        <f t="shared" si="1"/>
        <v>0.70735487839020095</v>
      </c>
      <c r="G122" s="183">
        <v>0.10798000000000001</v>
      </c>
      <c r="H122" s="156">
        <v>-3.1789999999999999E-2</v>
      </c>
      <c r="I122" s="156">
        <v>7</v>
      </c>
      <c r="J122" s="148">
        <f t="shared" si="2"/>
        <v>1.1544767195975498</v>
      </c>
      <c r="K122" s="155">
        <f t="shared" si="3"/>
        <v>-0.33988530205599288</v>
      </c>
      <c r="M122" s="149">
        <f t="shared" si="27"/>
        <v>0.67025509864391919</v>
      </c>
      <c r="N122" s="148">
        <f t="shared" si="13"/>
        <v>-0.30366276499631389</v>
      </c>
      <c r="O122" s="148">
        <v>7</v>
      </c>
      <c r="P122" s="149">
        <f t="shared" si="4"/>
        <v>1.0110176433865148</v>
      </c>
      <c r="Q122" s="148">
        <f t="shared" si="5"/>
        <v>0.67025509864391919</v>
      </c>
      <c r="R122" s="202">
        <f t="shared" si="6"/>
        <v>6.2689999999999996E-2</v>
      </c>
      <c r="S122" s="203">
        <f t="shared" si="14"/>
        <v>0.20184605669694353</v>
      </c>
      <c r="T122" s="208"/>
      <c r="U122" s="135"/>
      <c r="V122" s="135"/>
      <c r="Y122" s="212" t="s">
        <v>1962</v>
      </c>
      <c r="AG122" s="136">
        <f t="shared" si="7"/>
        <v>7</v>
      </c>
      <c r="AH122" s="136">
        <f t="shared" si="8"/>
        <v>0.67025509864391919</v>
      </c>
      <c r="AI122" s="136">
        <f t="shared" si="9"/>
        <v>-0.30366276499631389</v>
      </c>
      <c r="AJ122" s="136">
        <f t="shared" si="10"/>
        <v>0.70735487839020095</v>
      </c>
      <c r="AK122" s="70">
        <f t="shared" si="15"/>
        <v>-0.15896014782563328</v>
      </c>
      <c r="AL122" s="70">
        <f t="shared" si="16"/>
        <v>-9.1077455811844565</v>
      </c>
      <c r="AM122" s="111">
        <f t="shared" si="17"/>
        <v>0.51303114095085489</v>
      </c>
      <c r="AN122" s="111">
        <f t="shared" si="18"/>
        <v>29.394519135265242</v>
      </c>
      <c r="AO122" s="142">
        <f t="shared" si="19"/>
        <v>1.0577651858440418</v>
      </c>
      <c r="AP122" s="142">
        <f t="shared" si="20"/>
        <v>60.605480864734758</v>
      </c>
      <c r="AR122" s="111">
        <f t="shared" si="21"/>
        <v>0.24505962436375059</v>
      </c>
      <c r="AS122" s="70">
        <f t="shared" si="22"/>
        <v>0.21623706289734027</v>
      </c>
      <c r="AW122">
        <f t="shared" si="23"/>
        <v>0.17334412079016912</v>
      </c>
      <c r="AX122">
        <f t="shared" si="24"/>
        <v>6.5663144414088187E-2</v>
      </c>
      <c r="AZ122">
        <f t="shared" si="25"/>
        <v>12.973256746800258</v>
      </c>
      <c r="BA122">
        <f t="shared" si="26"/>
        <v>4.9142989528751366</v>
      </c>
      <c r="BD122" s="7"/>
      <c r="BE122" s="7"/>
      <c r="BF122" s="7"/>
      <c r="BG122" s="7"/>
      <c r="BH122" s="7"/>
      <c r="BR122" s="7" t="s">
        <v>1957</v>
      </c>
      <c r="BS122" s="7" t="s">
        <v>701</v>
      </c>
      <c r="BT122" s="7">
        <f>1/32</f>
        <v>3.125E-2</v>
      </c>
      <c r="BU122" s="7"/>
      <c r="BV122" s="7"/>
      <c r="BW122">
        <f>1/32</f>
        <v>3.125E-2</v>
      </c>
      <c r="CD122" s="219">
        <f t="shared" si="11"/>
        <v>0.25596600436233702</v>
      </c>
      <c r="CE122" s="223">
        <f t="shared" si="12"/>
        <v>7</v>
      </c>
      <c r="CF122" s="76"/>
      <c r="CG122" s="221">
        <f t="shared" ref="CG122:CG133" si="35">CG123-$CH$118</f>
        <v>-0.11999999999999998</v>
      </c>
      <c r="CH122" s="204">
        <f t="shared" si="28"/>
        <v>4.1581245772583639E-2</v>
      </c>
      <c r="CI122" s="42">
        <f t="shared" si="29"/>
        <v>-4.1581245772583639E-2</v>
      </c>
      <c r="CJ122" s="204">
        <f t="shared" si="30"/>
        <v>2.605925027121609</v>
      </c>
      <c r="CK122" s="204">
        <f t="shared" si="31"/>
        <v>0.4397336929887336</v>
      </c>
      <c r="CL122" s="214">
        <f t="shared" si="32"/>
        <v>0.3565712014435663</v>
      </c>
      <c r="CM122" s="221">
        <f t="shared" ref="CM122:CM132" si="36">CM123-$CN$118</f>
        <v>-0.11999999999999998</v>
      </c>
      <c r="CN122" s="204">
        <f t="shared" si="33"/>
        <v>4.1581245772583639E-2</v>
      </c>
      <c r="CO122" s="42">
        <f t="shared" si="34"/>
        <v>-4.1581245772583639E-2</v>
      </c>
      <c r="CP122" s="204">
        <f t="shared" ref="CP122:CP147" si="37">CM122+$CN$115</f>
        <v>5.5809638490813631</v>
      </c>
      <c r="CQ122" s="204">
        <f t="shared" ref="CQ122:CQ147" si="38">CN122+$CN$116</f>
        <v>0.4377441212081753</v>
      </c>
      <c r="CR122" s="214">
        <f t="shared" ref="CR122:CR147" si="39">CO122+$CN$116</f>
        <v>0.35458162966300799</v>
      </c>
    </row>
    <row r="123" spans="1:96" ht="15.75" x14ac:dyDescent="0.25">
      <c r="A123" s="186">
        <v>8.6370000000000002E-2</v>
      </c>
      <c r="B123" s="152">
        <v>7.6469999999999996E-2</v>
      </c>
      <c r="C123" s="152">
        <v>8</v>
      </c>
      <c r="D123" s="151">
        <f t="shared" si="0"/>
        <v>0.92343169356955346</v>
      </c>
      <c r="E123" s="150">
        <f t="shared" si="1"/>
        <v>0.8175850597112857</v>
      </c>
      <c r="G123" s="183">
        <v>0.14327999999999999</v>
      </c>
      <c r="H123" s="156">
        <v>-3.3189999999999997E-2</v>
      </c>
      <c r="I123" s="156">
        <v>8</v>
      </c>
      <c r="J123" s="148">
        <f t="shared" si="2"/>
        <v>1.5318894645669285</v>
      </c>
      <c r="K123" s="155">
        <f t="shared" si="3"/>
        <v>-0.35485351290463674</v>
      </c>
      <c r="M123" s="149">
        <f t="shared" si="27"/>
        <v>0.92343169356955346</v>
      </c>
      <c r="N123" s="148">
        <f t="shared" si="13"/>
        <v>-0.3307220432333528</v>
      </c>
      <c r="O123" s="148">
        <v>8</v>
      </c>
      <c r="P123" s="149">
        <f t="shared" si="4"/>
        <v>1.1483071029446386</v>
      </c>
      <c r="Q123" s="148">
        <f t="shared" si="5"/>
        <v>0.92343169356955346</v>
      </c>
      <c r="R123" s="202">
        <f t="shared" si="6"/>
        <v>8.6370000000000002E-2</v>
      </c>
      <c r="S123" s="203">
        <f t="shared" si="14"/>
        <v>0.24343150823896645</v>
      </c>
      <c r="T123" s="208"/>
      <c r="U123" s="135"/>
      <c r="V123" s="135"/>
      <c r="Y123" s="212" t="s">
        <v>2051</v>
      </c>
      <c r="AA123" t="s">
        <v>2054</v>
      </c>
      <c r="AB123">
        <v>0.254</v>
      </c>
      <c r="AG123" s="136">
        <f t="shared" si="7"/>
        <v>8</v>
      </c>
      <c r="AH123" s="136">
        <f t="shared" si="8"/>
        <v>0.92343169356955346</v>
      </c>
      <c r="AI123" s="136">
        <f t="shared" si="9"/>
        <v>-0.3307220432333528</v>
      </c>
      <c r="AJ123" s="136">
        <f t="shared" si="10"/>
        <v>0.8175850597112857</v>
      </c>
      <c r="AK123" s="70">
        <f t="shared" si="15"/>
        <v>-0.10647486900187052</v>
      </c>
      <c r="AL123" s="70">
        <f t="shared" si="16"/>
        <v>-6.1005606180154963</v>
      </c>
      <c r="AM123" s="111">
        <f t="shared" si="17"/>
        <v>0.41063680417110926</v>
      </c>
      <c r="AN123" s="111">
        <f t="shared" si="18"/>
        <v>23.527755791744639</v>
      </c>
      <c r="AO123" s="142">
        <f t="shared" si="19"/>
        <v>1.1601595226237873</v>
      </c>
      <c r="AP123" s="142">
        <f t="shared" si="20"/>
        <v>66.472244208255361</v>
      </c>
      <c r="AR123" s="111">
        <f t="shared" si="21"/>
        <v>0.27613236154463661</v>
      </c>
      <c r="AS123" s="70">
        <f t="shared" si="22"/>
        <v>0.25461852398607643</v>
      </c>
      <c r="AW123">
        <f t="shared" si="23"/>
        <v>0.22576169330169005</v>
      </c>
      <c r="AX123">
        <f t="shared" si="24"/>
        <v>8.4207958497735644E-2</v>
      </c>
      <c r="AZ123">
        <f t="shared" si="25"/>
        <v>16.896243134432893</v>
      </c>
      <c r="BA123">
        <f t="shared" si="26"/>
        <v>6.3022123896398181</v>
      </c>
      <c r="BD123" s="7"/>
      <c r="BE123" s="7"/>
      <c r="BF123" s="7"/>
      <c r="BG123" s="7"/>
      <c r="BH123" s="7"/>
      <c r="BM123" t="s">
        <v>1952</v>
      </c>
      <c r="BN123">
        <f>SUM(BN115:BN121)</f>
        <v>0.62414814439795663</v>
      </c>
      <c r="BP123">
        <f>BN123*2</f>
        <v>1.2482962887959133</v>
      </c>
      <c r="BR123" s="7" t="s">
        <v>1956</v>
      </c>
      <c r="BS123" s="7" t="s">
        <v>701</v>
      </c>
      <c r="BT123" s="7">
        <v>0.1</v>
      </c>
      <c r="BU123" s="7"/>
      <c r="BV123" s="7"/>
      <c r="CD123" s="219">
        <f t="shared" si="11"/>
        <v>0.3346769166470272</v>
      </c>
      <c r="CE123" s="223">
        <f t="shared" si="12"/>
        <v>8</v>
      </c>
      <c r="CF123" s="76"/>
      <c r="CG123" s="221">
        <f t="shared" si="35"/>
        <v>-0.10999999999999999</v>
      </c>
      <c r="CH123" s="204">
        <f t="shared" si="28"/>
        <v>6.3474404290233419E-2</v>
      </c>
      <c r="CI123" s="42">
        <f t="shared" si="29"/>
        <v>-6.3474404290233419E-2</v>
      </c>
      <c r="CJ123" s="204">
        <f t="shared" si="30"/>
        <v>2.6159250271216092</v>
      </c>
      <c r="CK123" s="204">
        <f t="shared" si="31"/>
        <v>0.46162685150638338</v>
      </c>
      <c r="CL123" s="214">
        <f t="shared" si="32"/>
        <v>0.33467804292591652</v>
      </c>
      <c r="CM123" s="221">
        <f t="shared" si="36"/>
        <v>-0.10999999999999999</v>
      </c>
      <c r="CN123" s="204">
        <f t="shared" si="33"/>
        <v>6.3474404290233419E-2</v>
      </c>
      <c r="CO123" s="42">
        <f t="shared" si="34"/>
        <v>-6.3474404290233419E-2</v>
      </c>
      <c r="CP123" s="204">
        <f t="shared" si="37"/>
        <v>5.5909638490813629</v>
      </c>
      <c r="CQ123" s="204">
        <f t="shared" si="38"/>
        <v>0.45963727972582508</v>
      </c>
      <c r="CR123" s="214">
        <f t="shared" si="39"/>
        <v>0.33268847114535821</v>
      </c>
    </row>
    <row r="124" spans="1:96" ht="15.75" x14ac:dyDescent="0.25">
      <c r="A124" s="186">
        <v>0.11362999999999999</v>
      </c>
      <c r="B124" s="152">
        <v>8.5620000000000002E-2</v>
      </c>
      <c r="C124" s="152">
        <v>9</v>
      </c>
      <c r="D124" s="151">
        <f t="shared" si="0"/>
        <v>1.2148841419510057</v>
      </c>
      <c r="E124" s="150">
        <f t="shared" si="1"/>
        <v>0.91541300918635138</v>
      </c>
      <c r="G124" s="183">
        <v>0.18265000000000001</v>
      </c>
      <c r="H124" s="156">
        <v>-3.3669999999999999E-2</v>
      </c>
      <c r="I124" s="156">
        <v>9</v>
      </c>
      <c r="J124" s="148">
        <f t="shared" si="2"/>
        <v>1.9528169367891506</v>
      </c>
      <c r="K124" s="155">
        <f t="shared" si="3"/>
        <v>-0.35998547090988608</v>
      </c>
      <c r="M124" s="149">
        <f t="shared" si="27"/>
        <v>1.2148841419510057</v>
      </c>
      <c r="N124" s="148">
        <f t="shared" si="13"/>
        <v>-0.35098857628143015</v>
      </c>
      <c r="O124" s="148">
        <v>9</v>
      </c>
      <c r="P124" s="149">
        <f t="shared" si="4"/>
        <v>1.2664015854677815</v>
      </c>
      <c r="Q124" s="148">
        <f t="shared" si="5"/>
        <v>1.2148841419510057</v>
      </c>
      <c r="R124" s="202">
        <f t="shared" si="6"/>
        <v>0.11363000000000001</v>
      </c>
      <c r="S124" s="203">
        <f t="shared" si="14"/>
        <v>0.28221221645246064</v>
      </c>
      <c r="T124" s="208"/>
      <c r="U124" s="135"/>
      <c r="V124" s="135"/>
      <c r="Y124" s="212" t="s">
        <v>2052</v>
      </c>
      <c r="AA124" t="s">
        <v>2055</v>
      </c>
      <c r="AB124">
        <v>0.158</v>
      </c>
      <c r="AG124" s="136">
        <f t="shared" si="7"/>
        <v>9</v>
      </c>
      <c r="AH124" s="136">
        <f t="shared" si="8"/>
        <v>1.2148841419510057</v>
      </c>
      <c r="AI124" s="136">
        <f t="shared" si="9"/>
        <v>-0.35098857628143015</v>
      </c>
      <c r="AJ124" s="136">
        <f t="shared" si="10"/>
        <v>0.91541300918635138</v>
      </c>
      <c r="AK124" s="70">
        <f t="shared" si="15"/>
        <v>-6.9424575681704084E-2</v>
      </c>
      <c r="AL124" s="70">
        <f t="shared" si="16"/>
        <v>-3.9777351810482142</v>
      </c>
      <c r="AM124" s="111">
        <f t="shared" si="17"/>
        <v>0.32384007076617516</v>
      </c>
      <c r="AN124" s="111">
        <f t="shared" si="18"/>
        <v>18.554669292119748</v>
      </c>
      <c r="AO124" s="142">
        <f t="shared" si="19"/>
        <v>1.2469562560287215</v>
      </c>
      <c r="AP124" s="142">
        <f t="shared" si="20"/>
        <v>71.44533070788026</v>
      </c>
      <c r="AR124" s="111">
        <f t="shared" si="21"/>
        <v>0.30743265500925415</v>
      </c>
      <c r="AS124" s="70">
        <f t="shared" si="22"/>
        <v>0.29215622880461045</v>
      </c>
      <c r="AW124">
        <f t="shared" si="23"/>
        <v>0.28142785184417074</v>
      </c>
      <c r="AX124">
        <f t="shared" si="24"/>
        <v>0.10254349879988198</v>
      </c>
      <c r="AZ124">
        <f t="shared" si="25"/>
        <v>21.062357125422352</v>
      </c>
      <c r="BA124">
        <f t="shared" si="26"/>
        <v>7.6744635559714913</v>
      </c>
      <c r="BD124" s="7"/>
      <c r="BE124" s="7"/>
      <c r="BF124" s="7"/>
      <c r="BG124" s="7"/>
      <c r="BH124" s="7"/>
      <c r="CD124" s="219">
        <f t="shared" si="11"/>
        <v>0.41553746929706747</v>
      </c>
      <c r="CE124" s="223">
        <f t="shared" si="12"/>
        <v>9</v>
      </c>
      <c r="CF124" s="76"/>
      <c r="CG124" s="221">
        <f t="shared" si="35"/>
        <v>-9.9999999999999992E-2</v>
      </c>
      <c r="CH124" s="204">
        <f t="shared" si="28"/>
        <v>7.8287930104199349E-2</v>
      </c>
      <c r="CI124" s="42">
        <f t="shared" si="29"/>
        <v>-7.8287930104199349E-2</v>
      </c>
      <c r="CJ124" s="204">
        <f t="shared" si="30"/>
        <v>2.625925027121609</v>
      </c>
      <c r="CK124" s="204">
        <f t="shared" si="31"/>
        <v>0.47644037732034927</v>
      </c>
      <c r="CL124" s="214">
        <f t="shared" si="32"/>
        <v>0.31986451711195063</v>
      </c>
      <c r="CM124" s="221">
        <f t="shared" si="36"/>
        <v>-9.9999999999999992E-2</v>
      </c>
      <c r="CN124" s="204">
        <f t="shared" si="33"/>
        <v>7.8287930104199349E-2</v>
      </c>
      <c r="CO124" s="42">
        <f t="shared" si="34"/>
        <v>-7.8287930104199349E-2</v>
      </c>
      <c r="CP124" s="204">
        <f t="shared" si="37"/>
        <v>5.6009638490813636</v>
      </c>
      <c r="CQ124" s="204">
        <f t="shared" si="38"/>
        <v>0.47445080553979102</v>
      </c>
      <c r="CR124" s="214">
        <f t="shared" si="39"/>
        <v>0.31787494533139227</v>
      </c>
    </row>
    <row r="125" spans="1:96" x14ac:dyDescent="0.25">
      <c r="A125" s="186">
        <v>0.14432</v>
      </c>
      <c r="B125" s="152">
        <v>9.3399999999999997E-2</v>
      </c>
      <c r="C125" s="152">
        <v>10</v>
      </c>
      <c r="D125" s="151">
        <f t="shared" si="0"/>
        <v>1.5430087069116354</v>
      </c>
      <c r="E125" s="150">
        <f t="shared" si="1"/>
        <v>0.99859349518810103</v>
      </c>
      <c r="G125" s="183">
        <v>0.22570000000000001</v>
      </c>
      <c r="H125" s="156">
        <v>-3.3270000000000001E-2</v>
      </c>
      <c r="I125" s="156">
        <v>10</v>
      </c>
      <c r="J125" s="148">
        <f t="shared" si="2"/>
        <v>2.4130894203849511</v>
      </c>
      <c r="K125" s="155">
        <f t="shared" si="3"/>
        <v>-0.355708839238845</v>
      </c>
      <c r="M125" s="149">
        <f t="shared" si="27"/>
        <v>1.5430087069116354</v>
      </c>
      <c r="N125" s="148">
        <f t="shared" si="13"/>
        <v>-0.36379321288319633</v>
      </c>
      <c r="O125" s="148">
        <v>10</v>
      </c>
      <c r="P125" s="149">
        <f t="shared" si="4"/>
        <v>1.3623867080712975</v>
      </c>
      <c r="Q125" s="148">
        <f t="shared" si="5"/>
        <v>1.5430087069116354</v>
      </c>
      <c r="R125" s="202">
        <f t="shared" si="6"/>
        <v>0.14432</v>
      </c>
      <c r="S125" s="203">
        <f t="shared" si="14"/>
        <v>0.31740014115245235</v>
      </c>
      <c r="T125" s="172"/>
      <c r="AG125" s="136">
        <f t="shared" si="7"/>
        <v>10</v>
      </c>
      <c r="AH125" s="136">
        <f t="shared" si="8"/>
        <v>1.5430087069116354</v>
      </c>
      <c r="AI125" s="136">
        <f t="shared" si="9"/>
        <v>-0.36379321288319633</v>
      </c>
      <c r="AJ125" s="136">
        <f t="shared" si="10"/>
        <v>0.99859349518810103</v>
      </c>
      <c r="AK125" s="70">
        <f t="shared" si="15"/>
        <v>-3.900391514546693E-2</v>
      </c>
      <c r="AL125" s="70">
        <f t="shared" si="16"/>
        <v>-2.2347597223216455</v>
      </c>
      <c r="AM125" s="111">
        <f t="shared" si="17"/>
        <v>0.24827266071206386</v>
      </c>
      <c r="AN125" s="111">
        <f t="shared" si="18"/>
        <v>14.224975627284708</v>
      </c>
      <c r="AO125" s="142">
        <f t="shared" si="19"/>
        <v>1.3225236660828328</v>
      </c>
      <c r="AP125" s="142">
        <f t="shared" si="20"/>
        <v>75.775024372715293</v>
      </c>
      <c r="AR125" s="111">
        <f t="shared" si="21"/>
        <v>0.33850365342502547</v>
      </c>
      <c r="AS125" s="70">
        <f t="shared" si="22"/>
        <v>0.32837431210298074</v>
      </c>
      <c r="AW125">
        <f t="shared" si="23"/>
        <v>0.33802754640763777</v>
      </c>
      <c r="AX125">
        <f t="shared" si="24"/>
        <v>0.11946034602825283</v>
      </c>
      <c r="AZ125">
        <f t="shared" si="25"/>
        <v>25.29833793639645</v>
      </c>
      <c r="BA125">
        <f t="shared" si="26"/>
        <v>8.9405382370142537</v>
      </c>
      <c r="BD125" s="7"/>
      <c r="BE125" s="7"/>
      <c r="BF125" s="7"/>
      <c r="BG125" s="7"/>
      <c r="BH125" s="7"/>
      <c r="BR125" s="19" t="s">
        <v>1955</v>
      </c>
      <c r="CD125" s="219">
        <f t="shared" si="11"/>
        <v>0.49422659765997873</v>
      </c>
      <c r="CE125" s="223">
        <f t="shared" si="12"/>
        <v>10</v>
      </c>
      <c r="CF125" s="76"/>
      <c r="CG125" s="221">
        <f t="shared" si="35"/>
        <v>-0.09</v>
      </c>
      <c r="CH125" s="204">
        <f t="shared" si="28"/>
        <v>8.9604687377391148E-2</v>
      </c>
      <c r="CI125" s="42">
        <f t="shared" si="29"/>
        <v>-8.9604687377391148E-2</v>
      </c>
      <c r="CJ125" s="204">
        <f t="shared" si="30"/>
        <v>2.6359250271216093</v>
      </c>
      <c r="CK125" s="204">
        <f t="shared" si="31"/>
        <v>0.48775713459354109</v>
      </c>
      <c r="CL125" s="214">
        <f t="shared" si="32"/>
        <v>0.30854775983875882</v>
      </c>
      <c r="CM125" s="221">
        <f t="shared" si="36"/>
        <v>-0.09</v>
      </c>
      <c r="CN125" s="204">
        <f t="shared" si="33"/>
        <v>8.9604687377391148E-2</v>
      </c>
      <c r="CO125" s="42">
        <f t="shared" si="34"/>
        <v>-8.9604687377391148E-2</v>
      </c>
      <c r="CP125" s="204">
        <f t="shared" si="37"/>
        <v>5.6109638490813634</v>
      </c>
      <c r="CQ125" s="204">
        <f t="shared" si="38"/>
        <v>0.48576756281298278</v>
      </c>
      <c r="CR125" s="214">
        <f t="shared" si="39"/>
        <v>0.30655818805820051</v>
      </c>
    </row>
    <row r="126" spans="1:96" x14ac:dyDescent="0.25">
      <c r="A126" s="186">
        <v>0.17824999999999999</v>
      </c>
      <c r="B126" s="152">
        <v>9.9650000000000002E-2</v>
      </c>
      <c r="C126" s="152">
        <v>11</v>
      </c>
      <c r="D126" s="151">
        <f t="shared" si="0"/>
        <v>1.9057739884076983</v>
      </c>
      <c r="E126" s="150">
        <f t="shared" si="1"/>
        <v>1.0654158650481187</v>
      </c>
      <c r="G126" s="183">
        <v>0.27199000000000001</v>
      </c>
      <c r="H126" s="156">
        <v>-3.2059999999999998E-2</v>
      </c>
      <c r="I126" s="156">
        <v>11</v>
      </c>
      <c r="J126" s="148">
        <f t="shared" si="2"/>
        <v>2.9080026205161844</v>
      </c>
      <c r="K126" s="155">
        <f t="shared" si="3"/>
        <v>-0.34277202843394561</v>
      </c>
      <c r="M126" s="149">
        <f t="shared" si="27"/>
        <v>1.9057739884076983</v>
      </c>
      <c r="N126" s="203">
        <f t="shared" si="13"/>
        <v>-0.36896983886495166</v>
      </c>
      <c r="O126" s="148">
        <v>11</v>
      </c>
      <c r="P126" s="149">
        <f t="shared" si="4"/>
        <v>1.4343857039130703</v>
      </c>
      <c r="Q126" s="148">
        <f t="shared" si="5"/>
        <v>1.9057739884076983</v>
      </c>
      <c r="R126" s="202">
        <f t="shared" si="6"/>
        <v>0.17824999999999999</v>
      </c>
      <c r="S126" s="203">
        <f t="shared" si="14"/>
        <v>0.34822301309158354</v>
      </c>
      <c r="T126" s="172"/>
      <c r="AG126" s="136">
        <f t="shared" si="7"/>
        <v>11</v>
      </c>
      <c r="AH126" s="136">
        <f t="shared" si="8"/>
        <v>1.9057739884076983</v>
      </c>
      <c r="AI126" s="136">
        <f t="shared" si="9"/>
        <v>-0.36896983886495166</v>
      </c>
      <c r="AJ126" s="136">
        <f t="shared" si="10"/>
        <v>1.0654158650481187</v>
      </c>
      <c r="AK126" s="70">
        <f t="shared" si="15"/>
        <v>-1.4268936186248762E-2</v>
      </c>
      <c r="AL126" s="70">
        <f t="shared" si="16"/>
        <v>-0.81754982161355083</v>
      </c>
      <c r="AM126" s="111">
        <f t="shared" si="17"/>
        <v>0.18216080910376423</v>
      </c>
      <c r="AN126" s="111">
        <f t="shared" si="18"/>
        <v>10.437045554333954</v>
      </c>
      <c r="AO126" s="142">
        <f t="shared" si="19"/>
        <v>1.3886355176911325</v>
      </c>
      <c r="AP126" s="142">
        <f t="shared" si="20"/>
        <v>79.562954445666051</v>
      </c>
      <c r="AR126" s="111">
        <f t="shared" si="21"/>
        <v>0.368868375674341</v>
      </c>
      <c r="AS126" s="70">
        <f t="shared" si="22"/>
        <v>0.3628022145956013</v>
      </c>
      <c r="AW126">
        <f t="shared" si="23"/>
        <v>0.39299821955797243</v>
      </c>
      <c r="AX126">
        <f t="shared" si="24"/>
        <v>0.13386307465918662</v>
      </c>
      <c r="AZ126">
        <f t="shared" si="25"/>
        <v>29.412401067426941</v>
      </c>
      <c r="BA126">
        <f t="shared" si="26"/>
        <v>10.018453631732342</v>
      </c>
      <c r="BD126" s="7"/>
      <c r="BE126" s="7"/>
      <c r="BF126" s="7"/>
      <c r="BG126" s="7"/>
      <c r="BH126" s="7"/>
      <c r="BR126" s="161" t="s">
        <v>1954</v>
      </c>
      <c r="BS126" s="161">
        <v>716259</v>
      </c>
      <c r="BT126" s="7" t="s">
        <v>1953</v>
      </c>
      <c r="CC126" s="89"/>
      <c r="CD126" s="219">
        <f t="shared" si="11"/>
        <v>0.56681295407751586</v>
      </c>
      <c r="CE126" s="223">
        <f t="shared" si="12"/>
        <v>11</v>
      </c>
      <c r="CF126" s="214"/>
      <c r="CG126" s="221">
        <f t="shared" si="35"/>
        <v>-0.08</v>
      </c>
      <c r="CH126" s="204">
        <f t="shared" si="28"/>
        <v>9.8635693336641586E-2</v>
      </c>
      <c r="CI126" s="42">
        <f t="shared" si="29"/>
        <v>-9.8635693336641586E-2</v>
      </c>
      <c r="CJ126" s="204">
        <f t="shared" si="30"/>
        <v>2.645925027121609</v>
      </c>
      <c r="CK126" s="204">
        <f t="shared" si="31"/>
        <v>0.49678814055279152</v>
      </c>
      <c r="CL126" s="214">
        <f t="shared" si="32"/>
        <v>0.29951675387950838</v>
      </c>
      <c r="CM126" s="221">
        <f t="shared" si="36"/>
        <v>-0.08</v>
      </c>
      <c r="CN126" s="204">
        <f t="shared" si="33"/>
        <v>9.8635693336641586E-2</v>
      </c>
      <c r="CO126" s="42">
        <f t="shared" si="34"/>
        <v>-9.8635693336641586E-2</v>
      </c>
      <c r="CP126" s="204">
        <f t="shared" si="37"/>
        <v>5.6209638490813632</v>
      </c>
      <c r="CQ126" s="204">
        <f t="shared" si="38"/>
        <v>0.49479856877223322</v>
      </c>
      <c r="CR126" s="214">
        <f t="shared" si="39"/>
        <v>0.29752718209895007</v>
      </c>
    </row>
    <row r="127" spans="1:96" s="89" customFormat="1" x14ac:dyDescent="0.25">
      <c r="A127" s="186">
        <v>0.21521000000000001</v>
      </c>
      <c r="B127" s="152">
        <v>0.10428</v>
      </c>
      <c r="C127" s="152">
        <v>12</v>
      </c>
      <c r="D127" s="151">
        <f t="shared" si="0"/>
        <v>2.3009347548118977</v>
      </c>
      <c r="E127" s="150">
        <f t="shared" si="1"/>
        <v>1.1149178766404195</v>
      </c>
      <c r="F127" s="158"/>
      <c r="G127" s="183">
        <v>0.32105</v>
      </c>
      <c r="H127" s="156">
        <v>-3.0099999999999998E-2</v>
      </c>
      <c r="I127" s="156">
        <v>12</v>
      </c>
      <c r="J127" s="148">
        <f t="shared" si="2"/>
        <v>3.4325314949693775</v>
      </c>
      <c r="K127" s="155">
        <f t="shared" si="3"/>
        <v>-0.32181653324584414</v>
      </c>
      <c r="L127" s="158"/>
      <c r="M127" s="149">
        <f t="shared" si="27"/>
        <v>2.3009347548118977</v>
      </c>
      <c r="N127" s="148">
        <f t="shared" si="13"/>
        <v>-0.36702504549021142</v>
      </c>
      <c r="O127" s="148">
        <v>12</v>
      </c>
      <c r="P127" s="149">
        <f t="shared" si="4"/>
        <v>1.4819429221306311</v>
      </c>
      <c r="Q127" s="148">
        <f t="shared" si="5"/>
        <v>2.3009347548118977</v>
      </c>
      <c r="R127" s="202">
        <f t="shared" si="6"/>
        <v>0.21521000000000001</v>
      </c>
      <c r="S127" s="203">
        <f t="shared" si="14"/>
        <v>0.37394641557510405</v>
      </c>
      <c r="T127" s="172"/>
      <c r="AG127" s="157">
        <f t="shared" si="7"/>
        <v>12</v>
      </c>
      <c r="AH127" s="157">
        <f t="shared" si="8"/>
        <v>2.3009347548118977</v>
      </c>
      <c r="AI127" s="157">
        <f t="shared" si="9"/>
        <v>-0.36702504549021142</v>
      </c>
      <c r="AJ127" s="157">
        <f t="shared" si="10"/>
        <v>1.1149178766404195</v>
      </c>
      <c r="AK127" s="89">
        <f t="shared" si="15"/>
        <v>4.9214847182083628E-3</v>
      </c>
      <c r="AL127" s="89">
        <f t="shared" si="16"/>
        <v>0.28198030329147045</v>
      </c>
      <c r="AM127" s="89">
        <f t="shared" si="17"/>
        <v>0.12462138593601764</v>
      </c>
      <c r="AN127" s="89">
        <f t="shared" si="18"/>
        <v>7.1402794512048056</v>
      </c>
      <c r="AO127" s="89">
        <f t="shared" si="19"/>
        <v>1.4461749408588791</v>
      </c>
      <c r="AP127" s="89">
        <f t="shared" si="20"/>
        <v>82.859720548795195</v>
      </c>
      <c r="AR127" s="111">
        <f t="shared" si="21"/>
        <v>0.39824926924834214</v>
      </c>
      <c r="AS127" s="70">
        <f t="shared" si="22"/>
        <v>0.39516555204929571</v>
      </c>
      <c r="AU127" s="89">
        <f>SUM(AR117:AS126)</f>
        <v>4.325033056873397</v>
      </c>
      <c r="AW127">
        <f t="shared" si="23"/>
        <v>0.44401522964396034</v>
      </c>
      <c r="AX127">
        <f t="shared" si="24"/>
        <v>0.14503565471705726</v>
      </c>
      <c r="AZ127">
        <f t="shared" si="25"/>
        <v>33.230567886599246</v>
      </c>
      <c r="BA127">
        <f t="shared" si="26"/>
        <v>10.854621301880151</v>
      </c>
      <c r="BD127" s="141"/>
      <c r="BE127" s="141"/>
      <c r="BF127" s="141"/>
      <c r="BG127" s="141"/>
      <c r="BH127" s="141"/>
      <c r="BR127" s="7" t="s">
        <v>1951</v>
      </c>
      <c r="BS127" s="161">
        <v>5285.6779999999999</v>
      </c>
      <c r="BT127" s="161"/>
      <c r="BU127" t="s">
        <v>1950</v>
      </c>
      <c r="BV127"/>
      <c r="BW127"/>
      <c r="BX127"/>
      <c r="BY127"/>
      <c r="CD127" s="224">
        <f t="shared" si="11"/>
        <v>0.62981132602374634</v>
      </c>
      <c r="CE127" s="225">
        <f t="shared" si="12"/>
        <v>12</v>
      </c>
      <c r="CF127" s="214">
        <f>SUM(CD116:CD126)</f>
        <v>2.4720936284129924</v>
      </c>
      <c r="CG127" s="221">
        <f t="shared" si="35"/>
        <v>-7.0000000000000007E-2</v>
      </c>
      <c r="CH127" s="204">
        <f t="shared" si="28"/>
        <v>0.1059669759878048</v>
      </c>
      <c r="CI127" s="42">
        <f t="shared" si="29"/>
        <v>-0.1059669759878048</v>
      </c>
      <c r="CJ127" s="204">
        <f t="shared" si="30"/>
        <v>2.6559250271216093</v>
      </c>
      <c r="CK127" s="204">
        <f t="shared" si="31"/>
        <v>0.50411942320395475</v>
      </c>
      <c r="CL127" s="214">
        <f t="shared" si="32"/>
        <v>0.29218547122834515</v>
      </c>
      <c r="CM127" s="221">
        <f t="shared" si="36"/>
        <v>-7.0000000000000007E-2</v>
      </c>
      <c r="CN127" s="204">
        <f t="shared" si="33"/>
        <v>0.1059669759878048</v>
      </c>
      <c r="CO127" s="42">
        <f t="shared" si="34"/>
        <v>-0.1059669759878048</v>
      </c>
      <c r="CP127" s="204">
        <f t="shared" si="37"/>
        <v>5.6309638490813629</v>
      </c>
      <c r="CQ127" s="204">
        <f t="shared" si="38"/>
        <v>0.5021298514233965</v>
      </c>
      <c r="CR127" s="214">
        <f t="shared" si="39"/>
        <v>0.29019589944778684</v>
      </c>
    </row>
    <row r="128" spans="1:96" x14ac:dyDescent="0.25">
      <c r="A128" s="186">
        <v>0.25496000000000002</v>
      </c>
      <c r="B128" s="152">
        <v>0.10722</v>
      </c>
      <c r="C128" s="152">
        <v>13</v>
      </c>
      <c r="D128" s="151">
        <f t="shared" si="0"/>
        <v>2.7259250271216091</v>
      </c>
      <c r="E128" s="150">
        <f t="shared" si="1"/>
        <v>1.1463511194225717</v>
      </c>
      <c r="G128" s="183">
        <v>0.37237999999999999</v>
      </c>
      <c r="H128" s="156">
        <v>-2.7470000000000001E-2</v>
      </c>
      <c r="I128" s="156">
        <v>13</v>
      </c>
      <c r="J128" s="148">
        <f t="shared" si="2"/>
        <v>3.9813302541557287</v>
      </c>
      <c r="K128" s="155">
        <f t="shared" si="3"/>
        <v>-0.2936976800087488</v>
      </c>
      <c r="M128" s="149">
        <f t="shared" si="27"/>
        <v>2.7259250271216091</v>
      </c>
      <c r="N128" s="148">
        <f t="shared" ref="N128:N134" si="40">((K127-K126)/(J127-J126))*(M128-J126)+K126</f>
        <v>-0.35004622499027188</v>
      </c>
      <c r="O128" s="148">
        <v>13</v>
      </c>
      <c r="P128" s="149">
        <f t="shared" si="4"/>
        <v>1.4963973444128436</v>
      </c>
      <c r="Q128" s="148">
        <f t="shared" si="5"/>
        <v>2.7259250271216091</v>
      </c>
      <c r="R128" s="202">
        <f t="shared" si="6"/>
        <v>0.25496000000000002</v>
      </c>
      <c r="S128" s="203">
        <f t="shared" si="14"/>
        <v>0.39815244721614995</v>
      </c>
      <c r="T128" s="172"/>
      <c r="AG128" s="136">
        <f t="shared" si="7"/>
        <v>13</v>
      </c>
      <c r="AH128" s="136">
        <f t="shared" si="8"/>
        <v>2.7259250271216091</v>
      </c>
      <c r="AI128" s="136">
        <f t="shared" si="9"/>
        <v>-0.35004622499027188</v>
      </c>
      <c r="AJ128" s="136">
        <f t="shared" si="10"/>
        <v>1.1463511194225717</v>
      </c>
      <c r="AK128" s="70">
        <f t="shared" si="15"/>
        <v>3.9929845484203447E-2</v>
      </c>
      <c r="AL128" s="70">
        <f t="shared" si="16"/>
        <v>2.2878116228543668</v>
      </c>
      <c r="AM128" s="111">
        <f t="shared" si="17"/>
        <v>7.3827836968954341E-2</v>
      </c>
      <c r="AN128" s="111">
        <f t="shared" si="18"/>
        <v>4.2300234689009955</v>
      </c>
      <c r="AO128" s="142">
        <f t="shared" si="19"/>
        <v>1.4969684898259423</v>
      </c>
      <c r="AP128" s="142">
        <f t="shared" si="20"/>
        <v>85.769976531099019</v>
      </c>
      <c r="AQ128" s="89"/>
      <c r="AR128" s="111">
        <f t="shared" si="21"/>
        <v>0.42615112379258652</v>
      </c>
      <c r="AS128" s="70">
        <f t="shared" si="22"/>
        <v>0.42532929819547094</v>
      </c>
      <c r="AW128">
        <f t="shared" si="23"/>
        <v>0.48851881780281847</v>
      </c>
      <c r="AX128">
        <f t="shared" si="24"/>
        <v>0.14888491521108627</v>
      </c>
      <c r="AZ128">
        <f t="shared" si="25"/>
        <v>36.56126334201425</v>
      </c>
      <c r="BA128">
        <f t="shared" si="26"/>
        <v>11.142704015310059</v>
      </c>
      <c r="BD128" s="7"/>
      <c r="BE128" s="7"/>
      <c r="BF128" s="7"/>
      <c r="BG128" s="7"/>
      <c r="BH128" s="7"/>
      <c r="BR128" s="7" t="s">
        <v>1948</v>
      </c>
      <c r="BS128" s="161">
        <v>-0.5595</v>
      </c>
      <c r="BT128" s="161"/>
      <c r="BU128" s="164"/>
      <c r="CC128" s="89"/>
      <c r="CD128" s="219">
        <f t="shared" si="11"/>
        <v>0.67579145310101429</v>
      </c>
      <c r="CE128" s="223">
        <f t="shared" si="12"/>
        <v>13</v>
      </c>
      <c r="CF128" s="214"/>
      <c r="CG128" s="221">
        <f t="shared" si="35"/>
        <v>-6.0000000000000005E-2</v>
      </c>
      <c r="CH128" s="204">
        <f t="shared" si="28"/>
        <v>0.11193301568348814</v>
      </c>
      <c r="CI128" s="42">
        <f t="shared" si="29"/>
        <v>-0.11193301568348814</v>
      </c>
      <c r="CJ128" s="204">
        <f t="shared" si="30"/>
        <v>2.6659250271216091</v>
      </c>
      <c r="CK128" s="204">
        <f t="shared" si="31"/>
        <v>0.51008546289963808</v>
      </c>
      <c r="CL128" s="214">
        <f t="shared" si="32"/>
        <v>0.28621943153266183</v>
      </c>
      <c r="CM128" s="221">
        <f t="shared" si="36"/>
        <v>-6.0000000000000005E-2</v>
      </c>
      <c r="CN128" s="204">
        <f t="shared" si="33"/>
        <v>0.11193301568348814</v>
      </c>
      <c r="CO128" s="42">
        <f t="shared" si="34"/>
        <v>-0.11193301568348814</v>
      </c>
      <c r="CP128" s="204">
        <f t="shared" si="37"/>
        <v>5.6409638490813636</v>
      </c>
      <c r="CQ128" s="204">
        <f t="shared" si="38"/>
        <v>0.50809589111907982</v>
      </c>
      <c r="CR128" s="214">
        <f t="shared" si="39"/>
        <v>0.28422985975210352</v>
      </c>
    </row>
    <row r="129" spans="1:96" x14ac:dyDescent="0.25">
      <c r="A129" s="186">
        <v>0.29720000000000002</v>
      </c>
      <c r="B129" s="152">
        <v>0.10846</v>
      </c>
      <c r="C129" s="152">
        <v>14</v>
      </c>
      <c r="D129" s="151">
        <f t="shared" si="0"/>
        <v>3.1775373315835509</v>
      </c>
      <c r="E129" s="283">
        <f t="shared" si="1"/>
        <v>1.1596086776027992</v>
      </c>
      <c r="G129" s="183">
        <v>0.42547000000000001</v>
      </c>
      <c r="H129" s="156">
        <v>-2.426E-2</v>
      </c>
      <c r="I129" s="156">
        <v>14</v>
      </c>
      <c r="J129" s="148">
        <f t="shared" si="2"/>
        <v>4.5489461926946619</v>
      </c>
      <c r="K129" s="155">
        <f t="shared" si="3"/>
        <v>-0.25937771084864381</v>
      </c>
      <c r="M129" s="149">
        <f t="shared" si="27"/>
        <v>3.1775373315835509</v>
      </c>
      <c r="N129" s="148">
        <f t="shared" si="40"/>
        <v>-0.33488169299072479</v>
      </c>
      <c r="O129" s="148">
        <v>14</v>
      </c>
      <c r="P129" s="149">
        <f t="shared" si="4"/>
        <v>1.494490370593524</v>
      </c>
      <c r="Q129" s="148">
        <f t="shared" si="5"/>
        <v>3.1775373315835509</v>
      </c>
      <c r="R129" s="202">
        <f t="shared" si="6"/>
        <v>0.29720000000000002</v>
      </c>
      <c r="S129" s="203">
        <f t="shared" si="14"/>
        <v>0.41236349230603719</v>
      </c>
      <c r="T129" s="172"/>
      <c r="Y129" s="135" t="s">
        <v>1949</v>
      </c>
      <c r="Z129" s="135"/>
      <c r="AA129" s="135"/>
      <c r="AG129" s="136">
        <f t="shared" si="7"/>
        <v>14</v>
      </c>
      <c r="AH129" s="136">
        <f t="shared" si="8"/>
        <v>3.1775373315835509</v>
      </c>
      <c r="AI129" s="136">
        <f t="shared" si="9"/>
        <v>-0.33488169299072479</v>
      </c>
      <c r="AJ129" s="136">
        <f t="shared" si="10"/>
        <v>1.1596086776027992</v>
      </c>
      <c r="AK129" s="70">
        <f t="shared" si="15"/>
        <v>3.3566039355841307E-2</v>
      </c>
      <c r="AL129" s="70">
        <f t="shared" si="16"/>
        <v>1.9231923900597272</v>
      </c>
      <c r="AM129" s="111">
        <f t="shared" si="17"/>
        <v>2.9347632158424602E-2</v>
      </c>
      <c r="AN129" s="111">
        <f t="shared" si="18"/>
        <v>1.6814954613801403</v>
      </c>
      <c r="AO129" s="142">
        <f t="shared" si="19"/>
        <v>1.541448694636472</v>
      </c>
      <c r="AP129" s="142">
        <f t="shared" si="20"/>
        <v>88.318504538619877</v>
      </c>
      <c r="AR129" s="111">
        <f t="shared" si="21"/>
        <v>0.45180685739630794</v>
      </c>
      <c r="AS129" s="70">
        <f t="shared" si="22"/>
        <v>0.45186683499919628</v>
      </c>
      <c r="AW129">
        <f t="shared" si="23"/>
        <v>0.5239191524372091</v>
      </c>
      <c r="AX129">
        <f t="shared" si="24"/>
        <v>0.15132193071089134</v>
      </c>
      <c r="AZ129">
        <f t="shared" si="25"/>
        <v>39.210661706614808</v>
      </c>
      <c r="BA129">
        <f t="shared" si="26"/>
        <v>11.325092824522537</v>
      </c>
      <c r="BD129" s="7"/>
      <c r="BE129" s="7"/>
      <c r="BF129" s="7"/>
      <c r="BG129" s="7"/>
      <c r="BH129" s="7"/>
      <c r="BR129" s="161" t="s">
        <v>1944</v>
      </c>
      <c r="BS129" s="169">
        <f>BS126/(2*(1+BS128))</f>
        <v>813006.81044267875</v>
      </c>
      <c r="BT129" s="169"/>
      <c r="BU129" s="164"/>
      <c r="CC129" s="89"/>
      <c r="CD129" s="219">
        <f t="shared" si="11"/>
        <v>0.70928393383375932</v>
      </c>
      <c r="CE129" s="223">
        <f t="shared" si="12"/>
        <v>14</v>
      </c>
      <c r="CF129" s="76"/>
      <c r="CG129" s="221">
        <f t="shared" si="35"/>
        <v>-0.05</v>
      </c>
      <c r="CH129" s="204">
        <f t="shared" si="28"/>
        <v>0.1167433081593973</v>
      </c>
      <c r="CI129" s="42">
        <f t="shared" si="29"/>
        <v>-0.1167433081593973</v>
      </c>
      <c r="CJ129" s="204">
        <f t="shared" si="30"/>
        <v>2.6759250271216093</v>
      </c>
      <c r="CK129" s="204">
        <f t="shared" si="31"/>
        <v>0.51489575537554721</v>
      </c>
      <c r="CL129" s="214">
        <f t="shared" si="32"/>
        <v>0.28140913905675263</v>
      </c>
      <c r="CM129" s="221">
        <f t="shared" si="36"/>
        <v>-0.05</v>
      </c>
      <c r="CN129" s="204">
        <f t="shared" si="33"/>
        <v>0.1167433081593973</v>
      </c>
      <c r="CO129" s="42">
        <f t="shared" si="34"/>
        <v>-0.1167433081593973</v>
      </c>
      <c r="CP129" s="204">
        <f t="shared" si="37"/>
        <v>5.6509638490813634</v>
      </c>
      <c r="CQ129" s="204">
        <f t="shared" si="38"/>
        <v>0.51290618359498896</v>
      </c>
      <c r="CR129" s="214">
        <f t="shared" si="39"/>
        <v>0.27941956727619432</v>
      </c>
    </row>
    <row r="130" spans="1:96" x14ac:dyDescent="0.25">
      <c r="A130" s="186">
        <v>0.34159</v>
      </c>
      <c r="B130" s="152">
        <v>0.10800999999999999</v>
      </c>
      <c r="C130" s="152">
        <v>15</v>
      </c>
      <c r="D130" s="151">
        <f t="shared" si="0"/>
        <v>3.6521365312773391</v>
      </c>
      <c r="E130" s="282">
        <f t="shared" si="1"/>
        <v>1.154797466972878</v>
      </c>
      <c r="G130" s="183">
        <v>0.47978999999999999</v>
      </c>
      <c r="H130" s="156">
        <v>-2.0639999999999999E-2</v>
      </c>
      <c r="I130" s="156">
        <v>15</v>
      </c>
      <c r="J130" s="148">
        <f t="shared" si="2"/>
        <v>5.1297127736220451</v>
      </c>
      <c r="K130" s="155">
        <f t="shared" si="3"/>
        <v>-0.22067419422572168</v>
      </c>
      <c r="M130" s="149">
        <f t="shared" si="27"/>
        <v>3.6521365312773391</v>
      </c>
      <c r="N130" s="148">
        <f t="shared" si="40"/>
        <v>-0.31360183993415153</v>
      </c>
      <c r="O130" s="148">
        <v>15</v>
      </c>
      <c r="P130" s="149">
        <f t="shared" si="4"/>
        <v>1.4683993069070296</v>
      </c>
      <c r="Q130" s="148">
        <f t="shared" si="5"/>
        <v>3.6521365312773391</v>
      </c>
      <c r="R130" s="202">
        <f t="shared" si="6"/>
        <v>0.34159</v>
      </c>
      <c r="S130" s="203">
        <f t="shared" si="14"/>
        <v>0.42059781351936321</v>
      </c>
      <c r="T130" s="172"/>
      <c r="Y130" s="135" t="s">
        <v>1947</v>
      </c>
      <c r="Z130" s="135" t="s">
        <v>1946</v>
      </c>
      <c r="AA130" s="135" t="s">
        <v>1945</v>
      </c>
      <c r="AG130" s="136">
        <f t="shared" si="7"/>
        <v>15</v>
      </c>
      <c r="AH130" s="136">
        <f t="shared" si="8"/>
        <v>3.6521365312773391</v>
      </c>
      <c r="AI130" s="136">
        <f t="shared" si="9"/>
        <v>-0.31360183993415153</v>
      </c>
      <c r="AJ130" s="136">
        <f t="shared" si="10"/>
        <v>1.154797466972878</v>
      </c>
      <c r="AK130" s="70">
        <f t="shared" si="15"/>
        <v>4.4807513124576766E-2</v>
      </c>
      <c r="AL130" s="70">
        <f t="shared" si="16"/>
        <v>2.5672813925152926</v>
      </c>
      <c r="AM130" s="111">
        <f t="shared" si="17"/>
        <v>-1.0137071094004064E-2</v>
      </c>
      <c r="AN130" s="111">
        <f t="shared" si="18"/>
        <v>-0.580811390310497</v>
      </c>
      <c r="AO130" s="142">
        <f t="shared" si="19"/>
        <v>1.5809333978889006</v>
      </c>
      <c r="AP130" s="142">
        <f t="shared" si="20"/>
        <v>90.580811390310487</v>
      </c>
      <c r="AR130" s="111">
        <f t="shared" si="21"/>
        <v>0.4746235856947163</v>
      </c>
      <c r="AS130" s="70">
        <f t="shared" si="22"/>
        <v>0.47507602812191396</v>
      </c>
      <c r="AW130">
        <f t="shared" si="23"/>
        <v>0.54809411452584311</v>
      </c>
      <c r="AX130">
        <f t="shared" si="24"/>
        <v>0.14898471652764092</v>
      </c>
      <c r="AZ130">
        <f t="shared" si="25"/>
        <v>41.019941355618045</v>
      </c>
      <c r="BA130">
        <f t="shared" si="26"/>
        <v>11.15017325105587</v>
      </c>
      <c r="BD130" s="7"/>
      <c r="BE130" s="7"/>
      <c r="BF130" s="7"/>
      <c r="BG130" s="7"/>
      <c r="BH130" s="7"/>
      <c r="BR130" s="163"/>
      <c r="BS130" s="168"/>
      <c r="BT130" s="168"/>
      <c r="BU130" s="167"/>
      <c r="BV130" s="89"/>
      <c r="BW130" s="89"/>
      <c r="BX130" s="89"/>
      <c r="BY130" s="89"/>
      <c r="CC130" s="89"/>
      <c r="CD130" s="219">
        <f t="shared" si="11"/>
        <v>0.72531724438097123</v>
      </c>
      <c r="CE130" s="223">
        <f t="shared" si="12"/>
        <v>15</v>
      </c>
      <c r="CF130" s="76"/>
      <c r="CG130" s="221">
        <f t="shared" si="35"/>
        <v>-0.04</v>
      </c>
      <c r="CH130" s="204">
        <f t="shared" si="28"/>
        <v>0.12053630158587081</v>
      </c>
      <c r="CI130" s="42">
        <f t="shared" si="29"/>
        <v>-0.12053630158587081</v>
      </c>
      <c r="CJ130" s="204">
        <f t="shared" si="30"/>
        <v>2.6859250271216091</v>
      </c>
      <c r="CK130" s="204">
        <f t="shared" si="31"/>
        <v>0.51868874880202076</v>
      </c>
      <c r="CL130" s="214">
        <f t="shared" si="32"/>
        <v>0.27761614563027914</v>
      </c>
      <c r="CM130" s="221">
        <f t="shared" si="36"/>
        <v>-0.04</v>
      </c>
      <c r="CN130" s="204">
        <f t="shared" si="33"/>
        <v>0.12053630158587081</v>
      </c>
      <c r="CO130" s="42">
        <f t="shared" si="34"/>
        <v>-0.12053630158587081</v>
      </c>
      <c r="CP130" s="204">
        <f t="shared" si="37"/>
        <v>5.6609638490813632</v>
      </c>
      <c r="CQ130" s="204">
        <f t="shared" si="38"/>
        <v>0.5166991770214624</v>
      </c>
      <c r="CR130" s="214">
        <f t="shared" si="39"/>
        <v>0.27562657384972084</v>
      </c>
    </row>
    <row r="131" spans="1:96" x14ac:dyDescent="0.25">
      <c r="A131" s="186">
        <v>0.38779000000000002</v>
      </c>
      <c r="B131" s="152">
        <v>0.10592</v>
      </c>
      <c r="C131" s="152">
        <v>16</v>
      </c>
      <c r="D131" s="151">
        <f t="shared" si="0"/>
        <v>4.1460874892825883</v>
      </c>
      <c r="E131" s="283">
        <f t="shared" si="1"/>
        <v>1.1324520664916882</v>
      </c>
      <c r="G131" s="183">
        <v>0.53476999999999997</v>
      </c>
      <c r="H131" s="156">
        <v>-1.6799999999999999E-2</v>
      </c>
      <c r="I131" s="156">
        <v>16</v>
      </c>
      <c r="J131" s="148">
        <f t="shared" si="2"/>
        <v>5.7175357968066463</v>
      </c>
      <c r="K131" s="155">
        <f t="shared" si="3"/>
        <v>-0.17961853018372695</v>
      </c>
      <c r="M131" s="149">
        <f t="shared" si="27"/>
        <v>4.1460874892825883</v>
      </c>
      <c r="N131" s="148">
        <f t="shared" si="40"/>
        <v>-0.28622506921299778</v>
      </c>
      <c r="O131" s="148">
        <v>16</v>
      </c>
      <c r="P131" s="149">
        <f t="shared" si="4"/>
        <v>1.4186771357046859</v>
      </c>
      <c r="Q131" s="148">
        <f t="shared" si="5"/>
        <v>4.1460874892825883</v>
      </c>
      <c r="R131" s="202">
        <f t="shared" si="6"/>
        <v>0.38779000000000002</v>
      </c>
      <c r="S131" s="203">
        <f t="shared" si="14"/>
        <v>0.42311349863934522</v>
      </c>
      <c r="T131" s="208"/>
      <c r="U131" s="135"/>
      <c r="Y131" s="137">
        <f>C110/2-3.5</f>
        <v>33.920527121609801</v>
      </c>
      <c r="Z131" s="137">
        <f>P127</f>
        <v>1.4819429221306311</v>
      </c>
      <c r="AA131" s="137">
        <v>0.2</v>
      </c>
      <c r="AB131" s="89"/>
      <c r="AG131" s="136">
        <f t="shared" si="7"/>
        <v>16</v>
      </c>
      <c r="AH131" s="136">
        <f t="shared" si="8"/>
        <v>4.1460874892825883</v>
      </c>
      <c r="AI131" s="136">
        <f t="shared" si="9"/>
        <v>-0.28622506921299778</v>
      </c>
      <c r="AJ131" s="136">
        <f t="shared" si="10"/>
        <v>1.1324520664916882</v>
      </c>
      <c r="AK131" s="70">
        <f t="shared" si="15"/>
        <v>5.5367419771437942E-2</v>
      </c>
      <c r="AL131" s="70">
        <f t="shared" si="16"/>
        <v>3.172319475432583</v>
      </c>
      <c r="AM131" s="111">
        <f t="shared" si="17"/>
        <v>-4.5207273376767138E-2</v>
      </c>
      <c r="AN131" s="111">
        <f t="shared" si="18"/>
        <v>-2.5901859677828867</v>
      </c>
      <c r="AO131" s="142">
        <f t="shared" si="19"/>
        <v>1.6160036001716636</v>
      </c>
      <c r="AP131" s="142">
        <f t="shared" si="20"/>
        <v>92.590185967782887</v>
      </c>
      <c r="AR131" s="111">
        <f t="shared" si="21"/>
        <v>0.49445613135744232</v>
      </c>
      <c r="AS131" s="70">
        <f t="shared" si="22"/>
        <v>0.49470904225556872</v>
      </c>
      <c r="AW131">
        <f t="shared" si="23"/>
        <v>0.55994786774522121</v>
      </c>
      <c r="AX131">
        <f t="shared" si="24"/>
        <v>0.141598129859896</v>
      </c>
      <c r="AZ131">
        <f t="shared" si="25"/>
        <v>41.907088743295255</v>
      </c>
      <c r="BA131">
        <f t="shared" si="26"/>
        <v>10.597353317582931</v>
      </c>
      <c r="BD131" s="7"/>
      <c r="BE131" s="7"/>
      <c r="BF131" s="7"/>
      <c r="BG131" s="7"/>
      <c r="BH131" s="7"/>
      <c r="BU131" s="164"/>
      <c r="CC131" s="89"/>
      <c r="CD131" s="219">
        <f t="shared" si="11"/>
        <v>0.72214366776408823</v>
      </c>
      <c r="CE131" s="223">
        <f t="shared" si="12"/>
        <v>16</v>
      </c>
      <c r="CF131" s="76"/>
      <c r="CG131" s="221">
        <f t="shared" si="35"/>
        <v>-0.03</v>
      </c>
      <c r="CH131" s="204">
        <f t="shared" si="28"/>
        <v>0.12340583454602137</v>
      </c>
      <c r="CI131" s="42">
        <f t="shared" si="29"/>
        <v>-0.12340583454602137</v>
      </c>
      <c r="CJ131" s="204">
        <f t="shared" si="30"/>
        <v>2.6959250271216093</v>
      </c>
      <c r="CK131" s="204">
        <f t="shared" si="31"/>
        <v>0.52155828176217134</v>
      </c>
      <c r="CL131" s="214">
        <f t="shared" si="32"/>
        <v>0.27474661267012856</v>
      </c>
      <c r="CM131" s="221">
        <f t="shared" si="36"/>
        <v>-0.03</v>
      </c>
      <c r="CN131" s="204">
        <f t="shared" si="33"/>
        <v>0.12340583454602137</v>
      </c>
      <c r="CO131" s="42">
        <f t="shared" si="34"/>
        <v>-0.12340583454602137</v>
      </c>
      <c r="CP131" s="204">
        <f t="shared" si="37"/>
        <v>5.670963849081363</v>
      </c>
      <c r="CQ131" s="204">
        <f t="shared" si="38"/>
        <v>0.51956870998161298</v>
      </c>
      <c r="CR131" s="214">
        <f t="shared" si="39"/>
        <v>0.27275704088957026</v>
      </c>
    </row>
    <row r="132" spans="1:96" x14ac:dyDescent="0.25">
      <c r="A132" s="186">
        <v>0.43540000000000001</v>
      </c>
      <c r="B132" s="152">
        <v>0.10229000000000001</v>
      </c>
      <c r="C132" s="152">
        <v>17</v>
      </c>
      <c r="D132" s="151">
        <f t="shared" si="0"/>
        <v>4.655113573928257</v>
      </c>
      <c r="E132" s="150">
        <f t="shared" si="1"/>
        <v>1.0936416340769901</v>
      </c>
      <c r="G132" s="183">
        <v>0.58975</v>
      </c>
      <c r="H132" s="156">
        <v>-1.295E-2</v>
      </c>
      <c r="I132" s="156">
        <v>17</v>
      </c>
      <c r="J132" s="148">
        <f t="shared" si="2"/>
        <v>6.3053588199912483</v>
      </c>
      <c r="K132" s="155">
        <f t="shared" si="3"/>
        <v>-0.1384559503499562</v>
      </c>
      <c r="M132" s="149">
        <f t="shared" si="27"/>
        <v>4.655113573928257</v>
      </c>
      <c r="N132" s="148">
        <f t="shared" si="40"/>
        <v>-0.25382190115231584</v>
      </c>
      <c r="O132" s="148">
        <v>17</v>
      </c>
      <c r="P132" s="149">
        <f t="shared" si="4"/>
        <v>1.3474635352293061</v>
      </c>
      <c r="Q132" s="148">
        <f t="shared" si="5"/>
        <v>4.655113573928257</v>
      </c>
      <c r="R132" s="202">
        <f t="shared" si="6"/>
        <v>0.43540000000000001</v>
      </c>
      <c r="S132" s="203">
        <f t="shared" si="14"/>
        <v>0.41990986646233713</v>
      </c>
      <c r="T132" s="208"/>
      <c r="U132" s="135"/>
      <c r="W132" s="135"/>
      <c r="X132" s="135"/>
      <c r="Y132" s="135"/>
      <c r="AG132" s="136">
        <f t="shared" si="7"/>
        <v>17</v>
      </c>
      <c r="AH132" s="136">
        <f t="shared" si="8"/>
        <v>4.655113573928257</v>
      </c>
      <c r="AI132" s="136">
        <f t="shared" si="9"/>
        <v>-0.25382190115231584</v>
      </c>
      <c r="AJ132" s="136">
        <f t="shared" si="10"/>
        <v>1.0936416340769901</v>
      </c>
      <c r="AK132" s="70">
        <f t="shared" si="15"/>
        <v>6.3571409606765633E-2</v>
      </c>
      <c r="AL132" s="70">
        <f t="shared" si="16"/>
        <v>3.6423734681650872</v>
      </c>
      <c r="AM132" s="111">
        <f t="shared" si="17"/>
        <v>-7.6097257601887736E-2</v>
      </c>
      <c r="AN132" s="111">
        <f t="shared" si="18"/>
        <v>-4.3600516931079873</v>
      </c>
      <c r="AO132" s="142">
        <f t="shared" si="19"/>
        <v>1.6468935843967842</v>
      </c>
      <c r="AP132" s="142">
        <f t="shared" si="20"/>
        <v>94.360051693107977</v>
      </c>
      <c r="AR132" s="111">
        <f t="shared" si="21"/>
        <v>0.51050348139255164</v>
      </c>
      <c r="AS132" s="70">
        <f t="shared" si="22"/>
        <v>0.5100563891865959</v>
      </c>
      <c r="AW132">
        <f t="shared" si="23"/>
        <v>0.55830786159214252</v>
      </c>
      <c r="AX132">
        <f t="shared" si="24"/>
        <v>0.12946348239822728</v>
      </c>
      <c r="AZ132">
        <f t="shared" si="25"/>
        <v>41.784348953833479</v>
      </c>
      <c r="BA132">
        <f t="shared" si="26"/>
        <v>9.6891835086818343</v>
      </c>
      <c r="BD132" s="7"/>
      <c r="BE132" s="7"/>
      <c r="BF132" s="7"/>
      <c r="BG132" s="7"/>
      <c r="BH132" s="7"/>
      <c r="BR132" s="161" t="s">
        <v>1943</v>
      </c>
      <c r="BS132" s="161" t="s">
        <v>1942</v>
      </c>
      <c r="BT132" s="161"/>
      <c r="BU132" s="164"/>
      <c r="BW132" s="19"/>
      <c r="CC132" s="89"/>
      <c r="CD132" s="219">
        <f t="shared" si="11"/>
        <v>0.70044466574718078</v>
      </c>
      <c r="CE132" s="223">
        <f t="shared" si="12"/>
        <v>17</v>
      </c>
      <c r="CF132" s="76"/>
      <c r="CG132" s="221">
        <f t="shared" si="35"/>
        <v>-0.02</v>
      </c>
      <c r="CH132" s="204">
        <f t="shared" si="28"/>
        <v>0.12541531007018242</v>
      </c>
      <c r="CI132" s="42">
        <f t="shared" si="29"/>
        <v>-0.12541531007018242</v>
      </c>
      <c r="CJ132" s="204">
        <f t="shared" si="30"/>
        <v>2.7059250271216091</v>
      </c>
      <c r="CK132" s="204">
        <f t="shared" si="31"/>
        <v>0.52356775728633242</v>
      </c>
      <c r="CL132" s="214">
        <f t="shared" si="32"/>
        <v>0.27273713714596753</v>
      </c>
      <c r="CM132" s="221">
        <f t="shared" si="36"/>
        <v>-0.02</v>
      </c>
      <c r="CN132" s="204">
        <f t="shared" si="33"/>
        <v>0.12541531007018242</v>
      </c>
      <c r="CO132" s="42">
        <f t="shared" si="34"/>
        <v>-0.12541531007018242</v>
      </c>
      <c r="CP132" s="204">
        <f t="shared" si="37"/>
        <v>5.6809638490813636</v>
      </c>
      <c r="CQ132" s="204">
        <f t="shared" si="38"/>
        <v>0.52157818550577406</v>
      </c>
      <c r="CR132" s="214">
        <f t="shared" si="39"/>
        <v>0.27074756536540923</v>
      </c>
    </row>
    <row r="133" spans="1:96" ht="17.25" x14ac:dyDescent="0.25">
      <c r="A133" s="186">
        <v>0.48402000000000001</v>
      </c>
      <c r="B133" s="152">
        <v>9.7229999999999997E-2</v>
      </c>
      <c r="C133" s="152">
        <v>18</v>
      </c>
      <c r="D133" s="151">
        <f t="shared" si="0"/>
        <v>5.1749381535433052</v>
      </c>
      <c r="E133" s="150">
        <f t="shared" si="1"/>
        <v>1.0395422434383197</v>
      </c>
      <c r="G133" s="183">
        <v>0.64402999999999999</v>
      </c>
      <c r="H133" s="156">
        <v>-9.2700000000000005E-3</v>
      </c>
      <c r="I133" s="156">
        <v>18</v>
      </c>
      <c r="J133" s="148">
        <f t="shared" si="2"/>
        <v>6.8856977377515287</v>
      </c>
      <c r="K133" s="155">
        <f t="shared" si="3"/>
        <v>-9.9110938976377919E-2</v>
      </c>
      <c r="M133" s="149">
        <f t="shared" si="27"/>
        <v>5.1749381535433052</v>
      </c>
      <c r="N133" s="148">
        <f t="shared" si="40"/>
        <v>-0.21761418181275316</v>
      </c>
      <c r="O133" s="148">
        <v>18</v>
      </c>
      <c r="P133" s="149">
        <f t="shared" si="4"/>
        <v>1.2571564252510727</v>
      </c>
      <c r="Q133" s="148">
        <f t="shared" si="5"/>
        <v>5.1749381535433052</v>
      </c>
      <c r="R133" s="202">
        <f t="shared" si="6"/>
        <v>0.48402000000000001</v>
      </c>
      <c r="S133" s="203">
        <f t="shared" si="14"/>
        <v>0.41096403081278327</v>
      </c>
      <c r="T133" s="208"/>
      <c r="U133" s="135"/>
      <c r="W133" s="135"/>
      <c r="X133" s="135"/>
      <c r="Y133" s="135"/>
      <c r="AG133" s="136">
        <f t="shared" si="7"/>
        <v>18</v>
      </c>
      <c r="AH133" s="136">
        <f t="shared" si="8"/>
        <v>5.1749381535433052</v>
      </c>
      <c r="AI133" s="136">
        <f t="shared" si="9"/>
        <v>-0.21761418181275316</v>
      </c>
      <c r="AJ133" s="136">
        <f t="shared" si="10"/>
        <v>1.0395422434383197</v>
      </c>
      <c r="AK133" s="70">
        <f t="shared" si="15"/>
        <v>6.9541408768384633E-2</v>
      </c>
      <c r="AL133" s="70">
        <f t="shared" si="16"/>
        <v>3.9844292238224952</v>
      </c>
      <c r="AM133" s="111">
        <f t="shared" si="17"/>
        <v>-0.10369908297340055</v>
      </c>
      <c r="AN133" s="111">
        <f t="shared" si="18"/>
        <v>-5.9415197937527875</v>
      </c>
      <c r="AO133" s="142">
        <f t="shared" si="19"/>
        <v>1.6744954097682971</v>
      </c>
      <c r="AP133" s="142">
        <f t="shared" si="20"/>
        <v>95.941519793752789</v>
      </c>
      <c r="AR133" s="111">
        <f t="shared" si="21"/>
        <v>0.52263212457658692</v>
      </c>
      <c r="AS133" s="70">
        <f t="shared" si="22"/>
        <v>0.52108405513096845</v>
      </c>
      <c r="AW133">
        <f t="shared" si="23"/>
        <v>0.54329817127528057</v>
      </c>
      <c r="AX133">
        <f t="shared" si="24"/>
        <v>0.11339528031299725</v>
      </c>
      <c r="AZ133">
        <f t="shared" si="25"/>
        <v>40.661007906655286</v>
      </c>
      <c r="BA133">
        <f t="shared" si="26"/>
        <v>8.4866223248301189</v>
      </c>
      <c r="BD133" s="7"/>
      <c r="BE133" s="7"/>
      <c r="BF133" s="7"/>
      <c r="BG133" s="7"/>
      <c r="BH133" s="7"/>
      <c r="BR133" s="166" t="str">
        <f>Y129</f>
        <v>Front Spar</v>
      </c>
      <c r="BS133" s="160">
        <f>AA131*Z131*C110*BT117</f>
        <v>7.702095181981522E-2</v>
      </c>
      <c r="BT133" s="160"/>
      <c r="BU133" s="164"/>
      <c r="CC133" s="89"/>
      <c r="CD133" s="219">
        <f t="shared" si="11"/>
        <v>0.66129658299283411</v>
      </c>
      <c r="CE133" s="223">
        <f t="shared" si="12"/>
        <v>18</v>
      </c>
      <c r="CF133" s="76"/>
      <c r="CG133" s="221">
        <f t="shared" si="35"/>
        <v>-0.01</v>
      </c>
      <c r="CH133" s="204">
        <f t="shared" si="28"/>
        <v>0.12660568707605516</v>
      </c>
      <c r="CI133" s="42">
        <f t="shared" si="29"/>
        <v>-0.12660568707605516</v>
      </c>
      <c r="CJ133" s="204">
        <f t="shared" si="30"/>
        <v>2.7159250271216093</v>
      </c>
      <c r="CK133" s="204">
        <f t="shared" si="31"/>
        <v>0.52475813429220508</v>
      </c>
      <c r="CL133" s="214">
        <f t="shared" si="32"/>
        <v>0.27154676014009482</v>
      </c>
      <c r="CM133" s="221">
        <f>CM134-$CN$118</f>
        <v>-0.01</v>
      </c>
      <c r="CN133" s="204">
        <f t="shared" si="33"/>
        <v>0.12660568707605516</v>
      </c>
      <c r="CO133" s="42">
        <f t="shared" si="34"/>
        <v>-0.12660568707605516</v>
      </c>
      <c r="CP133" s="204">
        <f t="shared" si="37"/>
        <v>5.6909638490813634</v>
      </c>
      <c r="CQ133" s="204">
        <f t="shared" si="38"/>
        <v>0.52276856251164683</v>
      </c>
      <c r="CR133" s="214">
        <f t="shared" si="39"/>
        <v>0.26955718835953646</v>
      </c>
    </row>
    <row r="134" spans="1:96" ht="17.25" x14ac:dyDescent="0.25">
      <c r="A134" s="186">
        <v>0.53322000000000003</v>
      </c>
      <c r="B134" s="152">
        <v>9.0889999999999999E-2</v>
      </c>
      <c r="C134" s="152">
        <v>19</v>
      </c>
      <c r="D134" s="151">
        <f t="shared" si="0"/>
        <v>5.7009638490813632</v>
      </c>
      <c r="E134" s="150">
        <f t="shared" si="1"/>
        <v>0.97175763145231808</v>
      </c>
      <c r="G134" s="183">
        <v>0.69691999999999998</v>
      </c>
      <c r="H134" s="156">
        <v>-5.9300000000000004E-3</v>
      </c>
      <c r="I134" s="156">
        <v>19</v>
      </c>
      <c r="J134" s="148">
        <f t="shared" si="2"/>
        <v>7.4511753604549398</v>
      </c>
      <c r="K134" s="155">
        <f t="shared" si="3"/>
        <v>-6.3401064523184586E-2</v>
      </c>
      <c r="M134" s="149">
        <f t="shared" si="27"/>
        <v>5.7009638490813632</v>
      </c>
      <c r="N134" s="148">
        <f t="shared" si="40"/>
        <v>-0.17943188058113479</v>
      </c>
      <c r="O134" s="148">
        <v>19</v>
      </c>
      <c r="P134" s="149">
        <f t="shared" si="4"/>
        <v>1.151189512033453</v>
      </c>
      <c r="Q134" s="148">
        <f t="shared" si="5"/>
        <v>5.7009638490813632</v>
      </c>
      <c r="R134" s="202">
        <f t="shared" si="6"/>
        <v>0.53322000000000003</v>
      </c>
      <c r="S134" s="203">
        <f t="shared" si="14"/>
        <v>0.39616287543559164</v>
      </c>
      <c r="T134" s="208"/>
      <c r="U134" s="135"/>
      <c r="W134" s="135"/>
      <c r="X134" s="135"/>
      <c r="Y134" s="135"/>
      <c r="AG134" s="136">
        <f t="shared" si="7"/>
        <v>19</v>
      </c>
      <c r="AH134" s="136">
        <f t="shared" si="8"/>
        <v>5.7009638490813632</v>
      </c>
      <c r="AI134" s="136">
        <f t="shared" si="9"/>
        <v>-0.17943188058113479</v>
      </c>
      <c r="AJ134" s="136">
        <f t="shared" si="10"/>
        <v>0.97175763145231808</v>
      </c>
      <c r="AK134" s="70">
        <f t="shared" si="15"/>
        <v>7.2459301261079162E-2</v>
      </c>
      <c r="AL134" s="70">
        <f t="shared" si="16"/>
        <v>4.1516121487267998</v>
      </c>
      <c r="AM134" s="111">
        <f t="shared" si="17"/>
        <v>-0.1281555463335326</v>
      </c>
      <c r="AN134" s="111">
        <f t="shared" si="18"/>
        <v>-7.3427719261046898</v>
      </c>
      <c r="AO134" s="142">
        <f t="shared" si="19"/>
        <v>1.698951873128429</v>
      </c>
      <c r="AP134" s="142">
        <f t="shared" si="20"/>
        <v>97.342771926104689</v>
      </c>
      <c r="AR134" s="111">
        <f t="shared" si="21"/>
        <v>0.5303751370382952</v>
      </c>
      <c r="AS134" s="70">
        <f t="shared" si="22"/>
        <v>0.52740963253778339</v>
      </c>
      <c r="AW134">
        <f t="shared" si="23"/>
        <v>0.51539608694953232</v>
      </c>
      <c r="AX134">
        <f t="shared" si="24"/>
        <v>9.4634102202859727E-2</v>
      </c>
      <c r="AZ134">
        <f t="shared" si="25"/>
        <v>38.572786500133077</v>
      </c>
      <c r="BA134">
        <f t="shared" si="26"/>
        <v>7.0825159762226129</v>
      </c>
      <c r="BD134" s="7"/>
      <c r="BE134" s="7"/>
      <c r="BF134" s="7"/>
      <c r="BG134" s="7"/>
      <c r="BH134" s="7"/>
      <c r="BR134" s="165">
        <f>S138</f>
        <v>0.28304540449609106</v>
      </c>
      <c r="BS134" s="160"/>
      <c r="BT134" s="160"/>
      <c r="BU134" s="164"/>
      <c r="CC134" s="89"/>
      <c r="CD134" s="219">
        <f t="shared" si="11"/>
        <v>0.60703222782147281</v>
      </c>
      <c r="CE134" s="220">
        <f t="shared" si="12"/>
        <v>19</v>
      </c>
      <c r="CF134" s="76"/>
      <c r="CG134" s="219">
        <v>0</v>
      </c>
      <c r="CH134" s="204">
        <f t="shared" si="28"/>
        <v>0.127</v>
      </c>
      <c r="CI134" s="42">
        <f t="shared" si="29"/>
        <v>-0.127</v>
      </c>
      <c r="CJ134" s="204">
        <f t="shared" si="30"/>
        <v>2.7259250271216091</v>
      </c>
      <c r="CK134" s="204">
        <f t="shared" si="31"/>
        <v>0.52515244721614995</v>
      </c>
      <c r="CL134" s="214">
        <f t="shared" si="32"/>
        <v>0.27115244721614995</v>
      </c>
      <c r="CM134" s="219">
        <v>0</v>
      </c>
      <c r="CN134" s="204">
        <f t="shared" si="33"/>
        <v>0.127</v>
      </c>
      <c r="CO134" s="42">
        <f t="shared" si="34"/>
        <v>-0.127</v>
      </c>
      <c r="CP134" s="204">
        <f t="shared" si="37"/>
        <v>5.7009638490813632</v>
      </c>
      <c r="CQ134" s="204">
        <f t="shared" si="38"/>
        <v>0.5231628754355917</v>
      </c>
      <c r="CR134" s="214">
        <f t="shared" si="39"/>
        <v>0.26916287543559164</v>
      </c>
    </row>
    <row r="135" spans="1:96" ht="17.25" x14ac:dyDescent="0.25">
      <c r="A135" s="186">
        <v>0.58253999999999995</v>
      </c>
      <c r="B135" s="152">
        <v>8.3470000000000003E-2</v>
      </c>
      <c r="C135" s="152">
        <v>20</v>
      </c>
      <c r="D135" s="151">
        <f t="shared" si="0"/>
        <v>6.2282725341207321</v>
      </c>
      <c r="E135" s="150">
        <f t="shared" si="1"/>
        <v>0.89242611395450533</v>
      </c>
      <c r="G135" s="183">
        <v>0.74768000000000001</v>
      </c>
      <c r="H135" s="156">
        <v>-3.0699999999999998E-3</v>
      </c>
      <c r="I135" s="156">
        <v>20</v>
      </c>
      <c r="J135" s="148">
        <f t="shared" si="2"/>
        <v>7.9938799195100581</v>
      </c>
      <c r="K135" s="155">
        <f t="shared" si="3"/>
        <v>-3.2823148075240581E-2</v>
      </c>
      <c r="M135" s="149">
        <f t="shared" si="27"/>
        <v>6.2282725341207321</v>
      </c>
      <c r="N135" s="148">
        <f t="shared" ref="N135:N141" si="41">((K133-K132)/(J133-J132))*(M135-J132)+K132</f>
        <v>-0.14368213922253356</v>
      </c>
      <c r="O135" s="148">
        <v>20</v>
      </c>
      <c r="P135" s="149">
        <f t="shared" si="4"/>
        <v>1.0361082531770389</v>
      </c>
      <c r="Q135" s="148">
        <f t="shared" si="5"/>
        <v>6.2282725341207321</v>
      </c>
      <c r="R135" s="202">
        <f t="shared" si="6"/>
        <v>0.58253999999999995</v>
      </c>
      <c r="S135" s="203">
        <f t="shared" si="14"/>
        <v>0.37437198736598587</v>
      </c>
      <c r="T135" s="208"/>
      <c r="U135" s="135"/>
      <c r="V135" s="135"/>
      <c r="AG135" s="136">
        <f t="shared" si="7"/>
        <v>20</v>
      </c>
      <c r="AH135" s="136">
        <f t="shared" si="8"/>
        <v>6.2282725341207321</v>
      </c>
      <c r="AI135" s="136">
        <f t="shared" si="9"/>
        <v>-0.14368213922253356</v>
      </c>
      <c r="AJ135" s="136">
        <f t="shared" si="10"/>
        <v>0.89242611395450533</v>
      </c>
      <c r="AK135" s="70">
        <f t="shared" si="15"/>
        <v>6.7693022693968569E-2</v>
      </c>
      <c r="AL135" s="70">
        <f t="shared" si="16"/>
        <v>3.8785245028477013</v>
      </c>
      <c r="AM135" s="111">
        <f t="shared" si="17"/>
        <v>-0.14932616989658221</v>
      </c>
      <c r="AN135" s="111">
        <f t="shared" si="18"/>
        <v>-8.555759305927646</v>
      </c>
      <c r="AO135" s="142">
        <f t="shared" si="19"/>
        <v>1.7201224966914788</v>
      </c>
      <c r="AP135" s="142">
        <f t="shared" si="20"/>
        <v>98.555759305927637</v>
      </c>
      <c r="AR135" s="111">
        <f t="shared" si="21"/>
        <v>0.53324285179123987</v>
      </c>
      <c r="AS135" s="70">
        <f t="shared" si="22"/>
        <v>0.52851915133243299</v>
      </c>
      <c r="AW135">
        <f t="shared" si="23"/>
        <v>0.47587984601807443</v>
      </c>
      <c r="AX135">
        <f t="shared" si="24"/>
        <v>7.5938762283521921E-2</v>
      </c>
      <c r="AZ135">
        <f t="shared" si="25"/>
        <v>35.6153493690937</v>
      </c>
      <c r="BA135">
        <f t="shared" si="26"/>
        <v>5.6833370272240229</v>
      </c>
      <c r="BD135" s="7"/>
      <c r="BE135" s="7"/>
      <c r="BF135" s="7"/>
      <c r="BG135" s="7"/>
      <c r="BH135" s="7"/>
      <c r="BR135" s="161" t="s">
        <v>1941</v>
      </c>
      <c r="BS135" s="160">
        <f>B410*BT117*BT123*CE150*2+BT123*CE150*BT116*D410</f>
        <v>7.7577647093003382E-2</v>
      </c>
      <c r="BT135" s="160"/>
      <c r="BU135" s="164"/>
      <c r="CC135" s="89"/>
      <c r="CD135" s="219">
        <f t="shared" si="11"/>
        <v>0.5428040378450919</v>
      </c>
      <c r="CE135" s="220">
        <f t="shared" si="12"/>
        <v>20</v>
      </c>
      <c r="CF135" s="76"/>
      <c r="CG135" s="219">
        <f t="shared" ref="CG135:CG146" si="42">CG134+$CH$118</f>
        <v>0.01</v>
      </c>
      <c r="CH135" s="204">
        <f t="shared" si="28"/>
        <v>0.12660568707605516</v>
      </c>
      <c r="CI135" s="42">
        <f t="shared" si="29"/>
        <v>-0.12660568707605516</v>
      </c>
      <c r="CJ135" s="204">
        <f t="shared" si="30"/>
        <v>2.7359250271216089</v>
      </c>
      <c r="CK135" s="204">
        <f t="shared" si="31"/>
        <v>0.52475813429220508</v>
      </c>
      <c r="CL135" s="214">
        <f t="shared" si="32"/>
        <v>0.27154676014009482</v>
      </c>
      <c r="CM135" s="219">
        <f t="shared" ref="CM135:CM145" si="43">CM134+$CN$118</f>
        <v>0.01</v>
      </c>
      <c r="CN135" s="204">
        <f t="shared" si="33"/>
        <v>0.12660568707605516</v>
      </c>
      <c r="CO135" s="42">
        <f t="shared" si="34"/>
        <v>-0.12660568707605516</v>
      </c>
      <c r="CP135" s="204">
        <f t="shared" si="37"/>
        <v>5.710963849081363</v>
      </c>
      <c r="CQ135" s="204">
        <f t="shared" si="38"/>
        <v>0.52276856251164683</v>
      </c>
      <c r="CR135" s="214">
        <f t="shared" si="39"/>
        <v>0.26955718835953646</v>
      </c>
    </row>
    <row r="136" spans="1:96" ht="17.25" x14ac:dyDescent="0.25">
      <c r="A136" s="186">
        <v>0.63153999999999999</v>
      </c>
      <c r="B136" s="152">
        <v>7.5170000000000001E-2</v>
      </c>
      <c r="C136" s="152">
        <v>21</v>
      </c>
      <c r="D136" s="151">
        <f t="shared" si="0"/>
        <v>6.7521599138232693</v>
      </c>
      <c r="E136" s="150">
        <f t="shared" si="1"/>
        <v>0.80368600678040214</v>
      </c>
      <c r="G136" s="183">
        <v>0.79557</v>
      </c>
      <c r="H136" s="156">
        <v>-7.9000000000000001E-4</v>
      </c>
      <c r="I136" s="156">
        <v>21</v>
      </c>
      <c r="J136" s="148">
        <f t="shared" si="2"/>
        <v>8.5058996463254566</v>
      </c>
      <c r="K136" s="155">
        <f t="shared" si="3"/>
        <v>-8.4463475503062085E-3</v>
      </c>
      <c r="M136" s="149">
        <f t="shared" si="27"/>
        <v>6.7521599138232693</v>
      </c>
      <c r="N136" s="148">
        <f t="shared" si="41"/>
        <v>-0.10754384372057128</v>
      </c>
      <c r="O136" s="148">
        <v>21</v>
      </c>
      <c r="P136" s="149">
        <f t="shared" si="4"/>
        <v>0.91122985050097338</v>
      </c>
      <c r="Q136" s="148">
        <f t="shared" si="5"/>
        <v>6.7521599138232693</v>
      </c>
      <c r="R136" s="202">
        <f t="shared" si="6"/>
        <v>0.63153999999999999</v>
      </c>
      <c r="S136" s="203">
        <f t="shared" si="14"/>
        <v>0.34807108152991545</v>
      </c>
      <c r="T136" s="208"/>
      <c r="U136" s="135"/>
      <c r="V136" s="135"/>
      <c r="AG136" s="136">
        <f t="shared" si="7"/>
        <v>21</v>
      </c>
      <c r="AH136" s="136">
        <f t="shared" si="8"/>
        <v>6.7521599138232693</v>
      </c>
      <c r="AI136" s="136">
        <f t="shared" si="9"/>
        <v>-0.10754384372057128</v>
      </c>
      <c r="AJ136" s="136">
        <f t="shared" si="10"/>
        <v>0.80368600678040214</v>
      </c>
      <c r="AK136" s="70">
        <f t="shared" si="15"/>
        <v>6.8871937056565732E-2</v>
      </c>
      <c r="AL136" s="70">
        <f t="shared" si="16"/>
        <v>3.9460713202318742</v>
      </c>
      <c r="AM136" s="111">
        <f t="shared" si="17"/>
        <v>-0.16779504900727346</v>
      </c>
      <c r="AN136" s="111">
        <f t="shared" si="18"/>
        <v>-9.6139481313075823</v>
      </c>
      <c r="AO136" s="142">
        <f t="shared" si="19"/>
        <v>1.73859137580217</v>
      </c>
      <c r="AP136" s="142">
        <f t="shared" si="20"/>
        <v>99.613948131307581</v>
      </c>
      <c r="AR136" s="111">
        <f t="shared" si="21"/>
        <v>0.53134997245964144</v>
      </c>
      <c r="AS136" s="70">
        <f t="shared" si="22"/>
        <v>0.52513232904990481</v>
      </c>
      <c r="AW136">
        <f t="shared" si="23"/>
        <v>0.42703853756896587</v>
      </c>
      <c r="AX136">
        <f t="shared" si="24"/>
        <v>5.6474749127962576E-2</v>
      </c>
      <c r="AZ136">
        <f t="shared" si="25"/>
        <v>31.960014354144146</v>
      </c>
      <c r="BA136">
        <f t="shared" si="26"/>
        <v>4.2266297628580665</v>
      </c>
      <c r="BD136" s="7"/>
      <c r="BE136" s="7"/>
      <c r="BF136" s="7"/>
      <c r="BG136" s="7"/>
      <c r="BH136" s="7"/>
      <c r="BR136" s="163" t="s">
        <v>1940</v>
      </c>
      <c r="BS136" s="162">
        <f>BT121*BT122*BT117</f>
        <v>7.0837249999999991E-2</v>
      </c>
      <c r="BT136" s="162"/>
      <c r="CC136" s="89"/>
      <c r="CD136" s="219">
        <f t="shared" si="11"/>
        <v>0.46949040494823185</v>
      </c>
      <c r="CE136" s="220">
        <f t="shared" si="12"/>
        <v>21</v>
      </c>
      <c r="CF136" s="76"/>
      <c r="CG136" s="219">
        <f t="shared" si="42"/>
        <v>0.02</v>
      </c>
      <c r="CH136" s="204">
        <f t="shared" si="28"/>
        <v>0.12541531007018242</v>
      </c>
      <c r="CI136" s="42">
        <f t="shared" si="29"/>
        <v>-0.12541531007018242</v>
      </c>
      <c r="CJ136" s="204">
        <f t="shared" si="30"/>
        <v>2.7459250271216091</v>
      </c>
      <c r="CK136" s="204">
        <f t="shared" si="31"/>
        <v>0.52356775728633242</v>
      </c>
      <c r="CL136" s="214">
        <f t="shared" si="32"/>
        <v>0.27273713714596753</v>
      </c>
      <c r="CM136" s="219">
        <f t="shared" si="43"/>
        <v>0.02</v>
      </c>
      <c r="CN136" s="204">
        <f t="shared" si="33"/>
        <v>0.12541531007018242</v>
      </c>
      <c r="CO136" s="42">
        <f t="shared" si="34"/>
        <v>-0.12541531007018242</v>
      </c>
      <c r="CP136" s="204">
        <f t="shared" si="37"/>
        <v>5.7209638490813628</v>
      </c>
      <c r="CQ136" s="204">
        <f t="shared" si="38"/>
        <v>0.52157818550577406</v>
      </c>
      <c r="CR136" s="214">
        <f t="shared" si="39"/>
        <v>0.27074756536540923</v>
      </c>
    </row>
    <row r="137" spans="1:96" ht="17.25" x14ac:dyDescent="0.25">
      <c r="A137" s="186">
        <v>0.67972999999999995</v>
      </c>
      <c r="B137" s="152">
        <v>6.6259999999999999E-2</v>
      </c>
      <c r="C137" s="152">
        <v>22</v>
      </c>
      <c r="D137" s="151">
        <f t="shared" si="0"/>
        <v>7.2673871143919477</v>
      </c>
      <c r="E137" s="150">
        <f t="shared" si="1"/>
        <v>0.70842403630796125</v>
      </c>
      <c r="G137" s="183">
        <v>0.83989999999999998</v>
      </c>
      <c r="H137" s="156">
        <v>8.7000000000000001E-4</v>
      </c>
      <c r="I137" s="156">
        <v>22</v>
      </c>
      <c r="J137" s="148">
        <f t="shared" si="2"/>
        <v>8.9798573512685884</v>
      </c>
      <c r="K137" s="155">
        <f t="shared" si="3"/>
        <v>9.3016738845144321E-3</v>
      </c>
      <c r="M137" s="149">
        <f t="shared" si="27"/>
        <v>7.2673871143919477</v>
      </c>
      <c r="N137" s="148">
        <f t="shared" si="41"/>
        <v>-7.3756351830910297E-2</v>
      </c>
      <c r="O137" s="148">
        <v>22</v>
      </c>
      <c r="P137" s="149">
        <f t="shared" si="4"/>
        <v>0.78218038813887159</v>
      </c>
      <c r="Q137" s="148">
        <f t="shared" si="5"/>
        <v>7.2673871143919477</v>
      </c>
      <c r="R137" s="202">
        <f t="shared" si="6"/>
        <v>0.67972999999999995</v>
      </c>
      <c r="S137" s="203">
        <f t="shared" si="14"/>
        <v>0.31733384223852545</v>
      </c>
      <c r="T137" s="208"/>
      <c r="U137" s="135"/>
      <c r="AG137" s="136">
        <f t="shared" si="7"/>
        <v>22</v>
      </c>
      <c r="AH137" s="136">
        <f t="shared" si="8"/>
        <v>7.2673871143919477</v>
      </c>
      <c r="AI137" s="136">
        <f t="shared" si="9"/>
        <v>-7.3756351830910297E-2</v>
      </c>
      <c r="AJ137" s="136">
        <f t="shared" si="10"/>
        <v>0.70842403630796125</v>
      </c>
      <c r="AK137" s="70">
        <f t="shared" si="15"/>
        <v>6.5484086606306946E-2</v>
      </c>
      <c r="AL137" s="70">
        <f t="shared" si="16"/>
        <v>3.7519617878105498</v>
      </c>
      <c r="AM137" s="111">
        <f t="shared" si="17"/>
        <v>-0.18282843215614433</v>
      </c>
      <c r="AN137" s="111">
        <f t="shared" si="18"/>
        <v>-10.475297537540976</v>
      </c>
      <c r="AO137" s="142">
        <f t="shared" si="19"/>
        <v>1.7536247589510408</v>
      </c>
      <c r="AP137" s="142">
        <f t="shared" si="20"/>
        <v>100.47529753754097</v>
      </c>
      <c r="AR137" s="111">
        <f t="shared" si="21"/>
        <v>0.52395983741516816</v>
      </c>
      <c r="AS137" s="70">
        <f t="shared" si="22"/>
        <v>0.51633386758378641</v>
      </c>
      <c r="AW137">
        <f t="shared" si="23"/>
        <v>0.37118574288491657</v>
      </c>
      <c r="AX137">
        <f t="shared" si="24"/>
        <v>3.8082902399724401E-2</v>
      </c>
      <c r="AZ137">
        <f t="shared" si="25"/>
        <v>27.779932317559805</v>
      </c>
      <c r="BA137">
        <f t="shared" si="26"/>
        <v>2.8501645642370117</v>
      </c>
      <c r="BD137" s="7"/>
      <c r="BE137" s="7"/>
      <c r="BF137" s="7"/>
      <c r="BG137" s="7"/>
      <c r="BH137" s="7"/>
      <c r="BR137" s="161"/>
      <c r="BS137" s="160"/>
      <c r="BT137" s="160"/>
      <c r="CC137" s="89"/>
      <c r="CD137" s="219">
        <f t="shared" si="11"/>
        <v>0.39212904510427293</v>
      </c>
      <c r="CE137" s="220">
        <f t="shared" si="12"/>
        <v>22</v>
      </c>
      <c r="CF137" s="76"/>
      <c r="CG137" s="219">
        <f t="shared" si="42"/>
        <v>0.03</v>
      </c>
      <c r="CH137" s="204">
        <f t="shared" si="28"/>
        <v>0.12340583454602137</v>
      </c>
      <c r="CI137" s="42">
        <f t="shared" si="29"/>
        <v>-0.12340583454602137</v>
      </c>
      <c r="CJ137" s="204">
        <f t="shared" si="30"/>
        <v>2.7559250271216089</v>
      </c>
      <c r="CK137" s="204">
        <f t="shared" si="31"/>
        <v>0.52155828176217134</v>
      </c>
      <c r="CL137" s="214">
        <f t="shared" si="32"/>
        <v>0.27474661267012856</v>
      </c>
      <c r="CM137" s="219">
        <f t="shared" si="43"/>
        <v>0.03</v>
      </c>
      <c r="CN137" s="204">
        <f t="shared" si="33"/>
        <v>0.12340583454602137</v>
      </c>
      <c r="CO137" s="42">
        <f t="shared" si="34"/>
        <v>-0.12340583454602137</v>
      </c>
      <c r="CP137" s="204">
        <f t="shared" si="37"/>
        <v>5.7309638490813635</v>
      </c>
      <c r="CQ137" s="204">
        <f t="shared" si="38"/>
        <v>0.51956870998161298</v>
      </c>
      <c r="CR137" s="214">
        <f t="shared" si="39"/>
        <v>0.27275704088957026</v>
      </c>
    </row>
    <row r="138" spans="1:96" x14ac:dyDescent="0.25">
      <c r="A138" s="186">
        <v>0.72662000000000004</v>
      </c>
      <c r="B138" s="152">
        <v>5.7020000000000001E-2</v>
      </c>
      <c r="C138" s="152">
        <v>23</v>
      </c>
      <c r="D138" s="151">
        <f t="shared" si="0"/>
        <v>7.7687152620297439</v>
      </c>
      <c r="E138" s="150">
        <f t="shared" si="1"/>
        <v>0.6096338447069114</v>
      </c>
      <c r="G138" s="183">
        <v>0.87997999999999998</v>
      </c>
      <c r="H138" s="156">
        <v>1.89E-3</v>
      </c>
      <c r="I138" s="156">
        <v>23</v>
      </c>
      <c r="J138" s="148">
        <f t="shared" si="2"/>
        <v>9.4083758447069084</v>
      </c>
      <c r="K138" s="155">
        <f t="shared" si="3"/>
        <v>2.0207084645669282E-2</v>
      </c>
      <c r="M138" s="149">
        <f t="shared" si="27"/>
        <v>7.7687152620297439</v>
      </c>
      <c r="N138" s="148">
        <f t="shared" si="41"/>
        <v>-4.3543035714729311E-2</v>
      </c>
      <c r="O138" s="148">
        <v>23</v>
      </c>
      <c r="P138" s="149">
        <f t="shared" si="4"/>
        <v>0.65317688042164068</v>
      </c>
      <c r="Q138" s="148">
        <f t="shared" si="5"/>
        <v>7.7687152620297439</v>
      </c>
      <c r="R138" s="202">
        <f t="shared" si="6"/>
        <v>0.72662000000000004</v>
      </c>
      <c r="S138" s="203">
        <f t="shared" si="14"/>
        <v>0.28304540449609106</v>
      </c>
      <c r="T138" s="208"/>
      <c r="AG138" s="136">
        <f t="shared" si="7"/>
        <v>23</v>
      </c>
      <c r="AH138" s="136">
        <f t="shared" si="8"/>
        <v>7.7687152620297439</v>
      </c>
      <c r="AI138" s="136">
        <f t="shared" si="9"/>
        <v>-4.3543035714729311E-2</v>
      </c>
      <c r="AJ138" s="136">
        <f t="shared" si="10"/>
        <v>0.6096338447069114</v>
      </c>
      <c r="AK138" s="70">
        <f t="shared" si="15"/>
        <v>6.0193741247070026E-2</v>
      </c>
      <c r="AL138" s="70">
        <f t="shared" si="16"/>
        <v>3.4488473265596533</v>
      </c>
      <c r="AM138" s="111">
        <f t="shared" si="17"/>
        <v>-0.19456410120958872</v>
      </c>
      <c r="AN138" s="111">
        <f t="shared" si="18"/>
        <v>-11.147701844065629</v>
      </c>
      <c r="AO138" s="142">
        <f t="shared" si="19"/>
        <v>1.7653604280044852</v>
      </c>
      <c r="AP138" s="142">
        <f t="shared" si="20"/>
        <v>101.14770184406562</v>
      </c>
      <c r="AR138" s="111">
        <f t="shared" si="21"/>
        <v>0.51096909257851997</v>
      </c>
      <c r="AS138" s="70">
        <f t="shared" si="22"/>
        <v>0.50223774856603554</v>
      </c>
      <c r="AW138">
        <f t="shared" si="23"/>
        <v>0.31150405243504486</v>
      </c>
      <c r="AX138">
        <f t="shared" si="24"/>
        <v>2.1868956223096127E-2</v>
      </c>
      <c r="AZ138">
        <f t="shared" si="25"/>
        <v>23.313291685273917</v>
      </c>
      <c r="BA138">
        <f t="shared" si="26"/>
        <v>1.636695738935332</v>
      </c>
      <c r="BD138" s="7"/>
      <c r="BE138" s="7"/>
      <c r="BF138" s="7"/>
      <c r="BG138" s="7"/>
      <c r="BH138" s="7"/>
      <c r="BR138" t="s">
        <v>1939</v>
      </c>
      <c r="BS138" s="159">
        <f>SUM(BS133:BS137)</f>
        <v>0.22543584891281859</v>
      </c>
      <c r="CC138" s="89"/>
      <c r="CD138" s="219">
        <f t="shared" si="11"/>
        <v>0.31453649472369999</v>
      </c>
      <c r="CE138" s="220">
        <f t="shared" si="12"/>
        <v>23</v>
      </c>
      <c r="CF138" s="76"/>
      <c r="CG138" s="219">
        <f t="shared" si="42"/>
        <v>0.04</v>
      </c>
      <c r="CH138" s="204">
        <f t="shared" si="28"/>
        <v>0.12053630158587081</v>
      </c>
      <c r="CI138" s="42">
        <f t="shared" si="29"/>
        <v>-0.12053630158587081</v>
      </c>
      <c r="CJ138" s="204">
        <f t="shared" si="30"/>
        <v>2.7659250271216091</v>
      </c>
      <c r="CK138" s="204">
        <f t="shared" si="31"/>
        <v>0.51868874880202076</v>
      </c>
      <c r="CL138" s="214">
        <f t="shared" si="32"/>
        <v>0.27761614563027914</v>
      </c>
      <c r="CM138" s="219">
        <f t="shared" si="43"/>
        <v>0.04</v>
      </c>
      <c r="CN138" s="204">
        <f t="shared" si="33"/>
        <v>0.12053630158587081</v>
      </c>
      <c r="CO138" s="42">
        <f t="shared" si="34"/>
        <v>-0.12053630158587081</v>
      </c>
      <c r="CP138" s="204">
        <f t="shared" si="37"/>
        <v>5.7409638490813633</v>
      </c>
      <c r="CQ138" s="204">
        <f t="shared" si="38"/>
        <v>0.5166991770214624</v>
      </c>
      <c r="CR138" s="214">
        <f t="shared" si="39"/>
        <v>0.27562657384972084</v>
      </c>
    </row>
    <row r="139" spans="1:96" x14ac:dyDescent="0.25">
      <c r="A139" s="186">
        <v>0.77166000000000001</v>
      </c>
      <c r="B139" s="152">
        <v>4.7780000000000003E-2</v>
      </c>
      <c r="C139" s="152">
        <v>24</v>
      </c>
      <c r="D139" s="151">
        <f t="shared" si="0"/>
        <v>8.2502639881889728</v>
      </c>
      <c r="E139" s="150">
        <f t="shared" si="1"/>
        <v>0.51084365310586155</v>
      </c>
      <c r="G139" s="183">
        <v>0.91517999999999999</v>
      </c>
      <c r="H139" s="156">
        <v>2.3E-3</v>
      </c>
      <c r="I139" s="156">
        <v>24</v>
      </c>
      <c r="J139" s="148">
        <f t="shared" si="2"/>
        <v>9.7847194317585267</v>
      </c>
      <c r="K139" s="155">
        <f t="shared" si="3"/>
        <v>2.4590632108486429E-2</v>
      </c>
      <c r="M139" s="149">
        <f t="shared" si="27"/>
        <v>8.2502639881889728</v>
      </c>
      <c r="N139" s="148">
        <f t="shared" si="41"/>
        <v>-1.8018988933265E-2</v>
      </c>
      <c r="O139" s="148">
        <v>24</v>
      </c>
      <c r="P139" s="149">
        <f t="shared" si="4"/>
        <v>0.52886264203912658</v>
      </c>
      <c r="Q139" s="148">
        <f t="shared" si="5"/>
        <v>8.2502639881889728</v>
      </c>
      <c r="R139" s="202">
        <f t="shared" si="6"/>
        <v>0.77166000000000001</v>
      </c>
      <c r="S139" s="203">
        <f t="shared" si="14"/>
        <v>0.24641233208629829</v>
      </c>
      <c r="T139" s="208"/>
      <c r="AG139" s="136">
        <f t="shared" si="7"/>
        <v>24</v>
      </c>
      <c r="AH139" s="136">
        <f t="shared" si="8"/>
        <v>8.2502639881889728</v>
      </c>
      <c r="AI139" s="136">
        <f t="shared" si="9"/>
        <v>-1.8018988933265E-2</v>
      </c>
      <c r="AJ139" s="136">
        <f t="shared" si="10"/>
        <v>0.51084365310586155</v>
      </c>
      <c r="AK139" s="70">
        <f t="shared" si="15"/>
        <v>5.2954525497922497E-2</v>
      </c>
      <c r="AL139" s="70">
        <f t="shared" si="16"/>
        <v>3.0340708171488635</v>
      </c>
      <c r="AM139" s="111">
        <f t="shared" si="17"/>
        <v>-0.20234348057007559</v>
      </c>
      <c r="AN139" s="111">
        <f t="shared" si="18"/>
        <v>-11.593427448652708</v>
      </c>
      <c r="AO139" s="142">
        <f t="shared" si="19"/>
        <v>1.773139807364972</v>
      </c>
      <c r="AP139" s="142">
        <f t="shared" si="20"/>
        <v>101.59342744865269</v>
      </c>
      <c r="AR139" s="111">
        <f t="shared" si="21"/>
        <v>0.49157774321275782</v>
      </c>
      <c r="AS139" s="70">
        <f t="shared" si="22"/>
        <v>0.48222469102035653</v>
      </c>
      <c r="AU139" t="s">
        <v>1938</v>
      </c>
      <c r="AV139" t="s">
        <v>1937</v>
      </c>
      <c r="AW139">
        <f t="shared" si="23"/>
        <v>0.25111937012834035</v>
      </c>
      <c r="AX139">
        <f t="shared" si="24"/>
        <v>8.6892013708429385E-3</v>
      </c>
      <c r="AZ139">
        <f t="shared" si="25"/>
        <v>18.794038401298259</v>
      </c>
      <c r="BA139">
        <f t="shared" si="26"/>
        <v>0.65030899112551444</v>
      </c>
      <c r="BD139" s="7"/>
      <c r="BE139" s="7"/>
      <c r="BF139" s="7"/>
      <c r="BG139" s="7"/>
      <c r="BH139" s="7"/>
      <c r="CC139" s="89"/>
      <c r="CD139" s="219">
        <f t="shared" si="11"/>
        <v>0.24093299593535356</v>
      </c>
      <c r="CE139" s="220">
        <f t="shared" si="12"/>
        <v>24</v>
      </c>
      <c r="CF139" s="76"/>
      <c r="CG139" s="219">
        <f t="shared" si="42"/>
        <v>0.05</v>
      </c>
      <c r="CH139" s="204">
        <f t="shared" si="28"/>
        <v>0.1167433081593973</v>
      </c>
      <c r="CI139" s="42">
        <f t="shared" si="29"/>
        <v>-0.1167433081593973</v>
      </c>
      <c r="CJ139" s="204">
        <f t="shared" si="30"/>
        <v>2.7759250271216089</v>
      </c>
      <c r="CK139" s="204">
        <f t="shared" si="31"/>
        <v>0.51489575537554721</v>
      </c>
      <c r="CL139" s="214">
        <f t="shared" si="32"/>
        <v>0.28140913905675263</v>
      </c>
      <c r="CM139" s="219">
        <f t="shared" si="43"/>
        <v>0.05</v>
      </c>
      <c r="CN139" s="204">
        <f t="shared" si="33"/>
        <v>0.1167433081593973</v>
      </c>
      <c r="CO139" s="42">
        <f t="shared" si="34"/>
        <v>-0.1167433081593973</v>
      </c>
      <c r="CP139" s="204">
        <f t="shared" si="37"/>
        <v>5.750963849081363</v>
      </c>
      <c r="CQ139" s="204">
        <f t="shared" si="38"/>
        <v>0.51290618359498896</v>
      </c>
      <c r="CR139" s="214">
        <f t="shared" si="39"/>
        <v>0.27941956727619432</v>
      </c>
    </row>
    <row r="140" spans="1:96" s="89" customFormat="1" x14ac:dyDescent="0.25">
      <c r="A140" s="186">
        <v>0.81427000000000005</v>
      </c>
      <c r="B140" s="152">
        <v>3.8850000000000003E-2</v>
      </c>
      <c r="C140" s="152">
        <v>25</v>
      </c>
      <c r="D140" s="151">
        <f t="shared" si="0"/>
        <v>8.7058321769466289</v>
      </c>
      <c r="E140" s="150">
        <f t="shared" si="1"/>
        <v>0.41536785104986862</v>
      </c>
      <c r="F140" s="158"/>
      <c r="G140" s="183">
        <v>0.94491000000000003</v>
      </c>
      <c r="H140" s="156">
        <v>2.16E-3</v>
      </c>
      <c r="I140" s="156">
        <v>25</v>
      </c>
      <c r="J140" s="148">
        <f t="shared" si="2"/>
        <v>10.102580080708657</v>
      </c>
      <c r="K140" s="155">
        <f t="shared" si="3"/>
        <v>2.3093811023622037E-2</v>
      </c>
      <c r="L140" s="158"/>
      <c r="M140" s="149">
        <f t="shared" si="27"/>
        <v>8.7058321769466289</v>
      </c>
      <c r="N140" s="148">
        <f t="shared" si="41"/>
        <v>2.3279793284166593E-3</v>
      </c>
      <c r="O140" s="148">
        <v>25</v>
      </c>
      <c r="P140" s="149">
        <f t="shared" si="4"/>
        <v>0.41303987172145196</v>
      </c>
      <c r="Q140" s="148">
        <f t="shared" si="5"/>
        <v>8.7058321769466289</v>
      </c>
      <c r="R140" s="202">
        <f t="shared" si="6"/>
        <v>0.81427000000000005</v>
      </c>
      <c r="S140" s="203">
        <f t="shared" si="14"/>
        <v>0.20884791518914264</v>
      </c>
      <c r="T140" s="208"/>
      <c r="AG140" s="157">
        <f t="shared" si="7"/>
        <v>25</v>
      </c>
      <c r="AH140" s="157">
        <f t="shared" si="8"/>
        <v>8.7058321769466289</v>
      </c>
      <c r="AI140" s="157">
        <f t="shared" si="9"/>
        <v>2.3279793284166593E-3</v>
      </c>
      <c r="AJ140" s="157">
        <f t="shared" si="10"/>
        <v>0.41536785104986862</v>
      </c>
      <c r="AK140" s="89">
        <f t="shared" si="15"/>
        <v>4.4633176251234967E-2</v>
      </c>
      <c r="AL140" s="89">
        <f t="shared" si="16"/>
        <v>2.5572926254593007</v>
      </c>
      <c r="AM140" s="89">
        <f t="shared" si="17"/>
        <v>-0.20658531826301693</v>
      </c>
      <c r="AN140" s="89">
        <f t="shared" si="18"/>
        <v>-11.836466845837757</v>
      </c>
      <c r="AO140" s="89">
        <f t="shared" si="19"/>
        <v>1.7773816450579134</v>
      </c>
      <c r="AP140" s="89">
        <f t="shared" si="20"/>
        <v>101.83646684583776</v>
      </c>
      <c r="AR140" s="111">
        <f t="shared" si="21"/>
        <v>0.4654653621765712</v>
      </c>
      <c r="AS140" s="70">
        <f t="shared" si="22"/>
        <v>0.45602233906396877</v>
      </c>
      <c r="AU140" s="89">
        <f>SUM(AR128:AR148)</f>
        <v>8.4959279896241799</v>
      </c>
      <c r="AV140" s="89">
        <f>SUM(AS128:AS148)</f>
        <v>8.4025772244943724</v>
      </c>
      <c r="AW140">
        <f t="shared" si="23"/>
        <v>0.19333934722543117</v>
      </c>
      <c r="AX140">
        <f t="shared" si="24"/>
        <v>1.0616105786371321E-3</v>
      </c>
      <c r="AZ140">
        <f t="shared" si="25"/>
        <v>14.469720573047164</v>
      </c>
      <c r="BA140">
        <f t="shared" si="26"/>
        <v>7.9452054900957345E-2</v>
      </c>
      <c r="BD140" s="141"/>
      <c r="BE140" s="141"/>
      <c r="BF140" s="141"/>
      <c r="BG140" s="141"/>
      <c r="BH140" s="141"/>
      <c r="CD140" s="221">
        <f t="shared" si="11"/>
        <v>0.17461055737434383</v>
      </c>
      <c r="CE140" s="222">
        <f t="shared" si="12"/>
        <v>25</v>
      </c>
      <c r="CF140" s="76"/>
      <c r="CG140" s="219">
        <f t="shared" si="42"/>
        <v>6.0000000000000005E-2</v>
      </c>
      <c r="CH140" s="204">
        <f t="shared" si="28"/>
        <v>0.11193301568348814</v>
      </c>
      <c r="CI140" s="42">
        <f t="shared" si="29"/>
        <v>-0.11193301568348814</v>
      </c>
      <c r="CJ140" s="204">
        <f t="shared" si="30"/>
        <v>2.7859250271216092</v>
      </c>
      <c r="CK140" s="204">
        <f t="shared" si="31"/>
        <v>0.51008546289963808</v>
      </c>
      <c r="CL140" s="214">
        <f t="shared" si="32"/>
        <v>0.28621943153266183</v>
      </c>
      <c r="CM140" s="219">
        <f t="shared" si="43"/>
        <v>6.0000000000000005E-2</v>
      </c>
      <c r="CN140" s="204">
        <f t="shared" si="33"/>
        <v>0.11193301568348814</v>
      </c>
      <c r="CO140" s="42">
        <f t="shared" si="34"/>
        <v>-0.11193301568348814</v>
      </c>
      <c r="CP140" s="204">
        <f t="shared" si="37"/>
        <v>5.7609638490813628</v>
      </c>
      <c r="CQ140" s="204">
        <f t="shared" si="38"/>
        <v>0.50809589111907982</v>
      </c>
      <c r="CR140" s="214">
        <f t="shared" si="39"/>
        <v>0.28422985975210352</v>
      </c>
    </row>
    <row r="141" spans="1:96" x14ac:dyDescent="0.25">
      <c r="A141" s="186">
        <v>0.85380999999999996</v>
      </c>
      <c r="B141" s="152">
        <v>3.049E-2</v>
      </c>
      <c r="C141" s="152">
        <v>26</v>
      </c>
      <c r="D141" s="151">
        <f t="shared" si="0"/>
        <v>9.1285772176290418</v>
      </c>
      <c r="E141" s="150">
        <f t="shared" si="1"/>
        <v>0.32598624912510921</v>
      </c>
      <c r="G141" s="183">
        <v>0.96863999999999995</v>
      </c>
      <c r="H141" s="156">
        <v>1.6299999999999999E-3</v>
      </c>
      <c r="I141" s="156">
        <v>26</v>
      </c>
      <c r="J141" s="148">
        <f t="shared" si="2"/>
        <v>10.356291254593172</v>
      </c>
      <c r="K141" s="155">
        <f t="shared" si="3"/>
        <v>1.7427274059492556E-2</v>
      </c>
      <c r="M141" s="149">
        <f t="shared" si="27"/>
        <v>9.1285772176290418</v>
      </c>
      <c r="N141" s="148">
        <f t="shared" si="41"/>
        <v>1.6948066546182767E-2</v>
      </c>
      <c r="O141" s="148">
        <v>26</v>
      </c>
      <c r="P141" s="149">
        <f t="shared" si="4"/>
        <v>0.30903818257892646</v>
      </c>
      <c r="Q141" s="148">
        <f t="shared" si="5"/>
        <v>9.1285772176290418</v>
      </c>
      <c r="R141" s="202">
        <f t="shared" si="6"/>
        <v>0.85380999999999996</v>
      </c>
      <c r="S141" s="203">
        <f t="shared" si="14"/>
        <v>0.17146715783564598</v>
      </c>
      <c r="T141" s="208"/>
      <c r="AG141" s="136">
        <f t="shared" si="7"/>
        <v>26</v>
      </c>
      <c r="AH141" s="136">
        <f t="shared" si="8"/>
        <v>9.1285772176290418</v>
      </c>
      <c r="AI141" s="136">
        <f t="shared" si="9"/>
        <v>1.6948066546182767E-2</v>
      </c>
      <c r="AJ141" s="136">
        <f t="shared" si="10"/>
        <v>0.32598624912510921</v>
      </c>
      <c r="AK141" s="70">
        <f t="shared" si="15"/>
        <v>3.456992109208995E-2</v>
      </c>
      <c r="AL141" s="70">
        <f t="shared" si="16"/>
        <v>1.9807105766770399</v>
      </c>
      <c r="AM141" s="111">
        <f t="shared" si="17"/>
        <v>-0.20836279943097891</v>
      </c>
      <c r="AN141" s="111">
        <f t="shared" si="18"/>
        <v>-11.938309014925963</v>
      </c>
      <c r="AO141" s="142">
        <f t="shared" si="19"/>
        <v>1.7791591262258755</v>
      </c>
      <c r="AP141" s="142">
        <f t="shared" si="20"/>
        <v>101.93830901492596</v>
      </c>
      <c r="AQ141" s="89"/>
      <c r="AR141" s="111">
        <f t="shared" si="21"/>
        <v>0.43209077771252086</v>
      </c>
      <c r="AS141" s="70">
        <f t="shared" si="22"/>
        <v>0.42299777348330103</v>
      </c>
      <c r="AW141">
        <f t="shared" si="23"/>
        <v>0.14085565190805602</v>
      </c>
      <c r="AX141">
        <f t="shared" si="24"/>
        <v>7.1689944138821297E-3</v>
      </c>
      <c r="AZ141">
        <f t="shared" si="25"/>
        <v>10.541785484914879</v>
      </c>
      <c r="BA141">
        <f t="shared" si="26"/>
        <v>0.53653509979869074</v>
      </c>
      <c r="BD141" s="7"/>
      <c r="BE141" s="7"/>
      <c r="BF141" s="7"/>
      <c r="BG141" s="7"/>
      <c r="BH141" s="7"/>
      <c r="CC141" s="89"/>
      <c r="CD141" s="219">
        <f t="shared" si="11"/>
        <v>0.11848524825830987</v>
      </c>
      <c r="CE141" s="220">
        <f t="shared" si="12"/>
        <v>26</v>
      </c>
      <c r="CF141" s="214"/>
      <c r="CG141" s="219">
        <f t="shared" si="42"/>
        <v>7.0000000000000007E-2</v>
      </c>
      <c r="CH141" s="204">
        <f t="shared" si="28"/>
        <v>0.1059669759878048</v>
      </c>
      <c r="CI141" s="42">
        <f t="shared" si="29"/>
        <v>-0.1059669759878048</v>
      </c>
      <c r="CJ141" s="204">
        <f t="shared" si="30"/>
        <v>2.795925027121609</v>
      </c>
      <c r="CK141" s="204">
        <f t="shared" si="31"/>
        <v>0.50411942320395475</v>
      </c>
      <c r="CL141" s="214">
        <f t="shared" si="32"/>
        <v>0.29218547122834515</v>
      </c>
      <c r="CM141" s="219">
        <f t="shared" si="43"/>
        <v>7.0000000000000007E-2</v>
      </c>
      <c r="CN141" s="204">
        <f t="shared" si="33"/>
        <v>0.1059669759878048</v>
      </c>
      <c r="CO141" s="42">
        <f t="shared" si="34"/>
        <v>-0.1059669759878048</v>
      </c>
      <c r="CP141" s="204">
        <f t="shared" si="37"/>
        <v>5.7709638490813635</v>
      </c>
      <c r="CQ141" s="204">
        <f t="shared" si="38"/>
        <v>0.5021298514233965</v>
      </c>
      <c r="CR141" s="214">
        <f t="shared" si="39"/>
        <v>0.29019589944778684</v>
      </c>
    </row>
    <row r="142" spans="1:96" x14ac:dyDescent="0.25">
      <c r="A142" s="186">
        <v>0.88966999999999996</v>
      </c>
      <c r="B142" s="152">
        <v>2.2890000000000001E-2</v>
      </c>
      <c r="C142" s="152">
        <v>27</v>
      </c>
      <c r="D142" s="151">
        <f t="shared" si="0"/>
        <v>9.511977246937878</v>
      </c>
      <c r="E142" s="150">
        <f t="shared" si="1"/>
        <v>0.244730247375328</v>
      </c>
      <c r="G142" s="183">
        <v>0.98592999999999997</v>
      </c>
      <c r="H142" s="156">
        <v>9.2000000000000003E-4</v>
      </c>
      <c r="I142" s="156">
        <v>27</v>
      </c>
      <c r="J142" s="148">
        <f t="shared" si="2"/>
        <v>10.541148658573924</v>
      </c>
      <c r="K142" s="155">
        <f t="shared" si="3"/>
        <v>9.8362528433945714E-3</v>
      </c>
      <c r="M142" s="149">
        <f t="shared" si="27"/>
        <v>9.511977246937878</v>
      </c>
      <c r="N142" s="148">
        <f t="shared" ref="N142:N147" si="44">((K139-K138)/(J139-J138))*(M142-J138)+K138</f>
        <v>2.1413805523927736E-2</v>
      </c>
      <c r="O142" s="148">
        <v>27</v>
      </c>
      <c r="P142" s="149">
        <f t="shared" si="4"/>
        <v>0.22331644185140026</v>
      </c>
      <c r="Q142" s="148">
        <f t="shared" si="5"/>
        <v>9.511977246937878</v>
      </c>
      <c r="R142" s="202">
        <f t="shared" si="6"/>
        <v>0.88966999999999985</v>
      </c>
      <c r="S142" s="203">
        <f t="shared" si="14"/>
        <v>0.13307202644962787</v>
      </c>
      <c r="T142" s="208"/>
      <c r="AG142" s="136">
        <f t="shared" si="7"/>
        <v>27</v>
      </c>
      <c r="AH142" s="136">
        <f t="shared" si="8"/>
        <v>9.511977246937878</v>
      </c>
      <c r="AI142" s="136">
        <f t="shared" si="9"/>
        <v>2.1413805523927736E-2</v>
      </c>
      <c r="AJ142" s="136">
        <f t="shared" si="10"/>
        <v>0.244730247375328</v>
      </c>
      <c r="AK142" s="70">
        <f t="shared" si="15"/>
        <v>1.1647200568292987E-2</v>
      </c>
      <c r="AL142" s="70">
        <f t="shared" si="16"/>
        <v>0.66733543570556209</v>
      </c>
      <c r="AM142" s="111">
        <f t="shared" si="17"/>
        <v>-0.20884503276592842</v>
      </c>
      <c r="AN142" s="111">
        <f t="shared" si="18"/>
        <v>-11.965938949759087</v>
      </c>
      <c r="AO142" s="142">
        <f t="shared" si="19"/>
        <v>1.7796413595608249</v>
      </c>
      <c r="AP142" s="142">
        <f t="shared" si="20"/>
        <v>101.96593894975909</v>
      </c>
      <c r="AR142" s="111">
        <f t="shared" si="21"/>
        <v>0.39191596075482421</v>
      </c>
      <c r="AS142" s="70">
        <f t="shared" si="22"/>
        <v>0.38342603628161953</v>
      </c>
      <c r="AW142">
        <f t="shared" si="23"/>
        <v>9.5913690025867471E-2</v>
      </c>
      <c r="AX142">
        <f t="shared" si="24"/>
        <v>8.2106105737450603E-3</v>
      </c>
      <c r="AZ142">
        <f t="shared" si="25"/>
        <v>7.1782816778932981</v>
      </c>
      <c r="BA142">
        <f t="shared" si="26"/>
        <v>0.61449075131960651</v>
      </c>
      <c r="BD142" s="7"/>
      <c r="BE142" s="7"/>
      <c r="BF142" s="7"/>
      <c r="BG142" s="7"/>
      <c r="BH142" s="7"/>
      <c r="CC142" s="89"/>
      <c r="CD142" s="219">
        <f t="shared" si="11"/>
        <v>7.5448331262987056E-2</v>
      </c>
      <c r="CE142" s="220">
        <f t="shared" si="12"/>
        <v>27</v>
      </c>
      <c r="CF142" s="76"/>
      <c r="CG142" s="219">
        <f t="shared" si="42"/>
        <v>0.08</v>
      </c>
      <c r="CH142" s="204">
        <f t="shared" si="28"/>
        <v>9.8635693336641586E-2</v>
      </c>
      <c r="CI142" s="42">
        <f t="shared" si="29"/>
        <v>-9.8635693336641586E-2</v>
      </c>
      <c r="CJ142" s="204">
        <f t="shared" si="30"/>
        <v>2.8059250271216092</v>
      </c>
      <c r="CK142" s="204">
        <f t="shared" si="31"/>
        <v>0.49678814055279152</v>
      </c>
      <c r="CL142" s="214">
        <f t="shared" si="32"/>
        <v>0.29951675387950838</v>
      </c>
      <c r="CM142" s="219">
        <f t="shared" si="43"/>
        <v>0.08</v>
      </c>
      <c r="CN142" s="204">
        <f t="shared" si="33"/>
        <v>9.8635693336641586E-2</v>
      </c>
      <c r="CO142" s="42">
        <f t="shared" si="34"/>
        <v>-9.8635693336641586E-2</v>
      </c>
      <c r="CP142" s="204">
        <f t="shared" si="37"/>
        <v>5.7809638490813633</v>
      </c>
      <c r="CQ142" s="204">
        <f t="shared" si="38"/>
        <v>0.49479856877223322</v>
      </c>
      <c r="CR142" s="214">
        <f t="shared" si="39"/>
        <v>0.29752718209895007</v>
      </c>
    </row>
    <row r="143" spans="1:96" x14ac:dyDescent="0.25">
      <c r="A143" s="186">
        <v>0.92127000000000003</v>
      </c>
      <c r="B143" s="152">
        <v>1.6150000000000001E-2</v>
      </c>
      <c r="C143" s="152">
        <v>28</v>
      </c>
      <c r="D143" s="151">
        <f t="shared" si="0"/>
        <v>9.8498311489501269</v>
      </c>
      <c r="E143" s="150">
        <f t="shared" si="1"/>
        <v>0.17266900371828517</v>
      </c>
      <c r="G143" s="183">
        <v>0.99646000000000001</v>
      </c>
      <c r="H143" s="156">
        <v>2.7E-4</v>
      </c>
      <c r="I143" s="156">
        <v>28</v>
      </c>
      <c r="J143" s="148">
        <f t="shared" si="2"/>
        <v>10.653730987314082</v>
      </c>
      <c r="K143" s="155">
        <f t="shared" si="3"/>
        <v>2.8867263779527546E-3</v>
      </c>
      <c r="M143" s="149">
        <f t="shared" si="27"/>
        <v>9.8498311489501269</v>
      </c>
      <c r="N143" s="148">
        <f t="shared" si="44"/>
        <v>2.4284017900386059E-2</v>
      </c>
      <c r="O143" s="148">
        <v>28</v>
      </c>
      <c r="P143" s="149">
        <f t="shared" si="4"/>
        <v>0.14838498581789911</v>
      </c>
      <c r="Q143" s="148">
        <f t="shared" si="5"/>
        <v>9.8498311489501269</v>
      </c>
      <c r="R143" s="202">
        <f t="shared" si="6"/>
        <v>0.92126999999999992</v>
      </c>
      <c r="S143" s="203">
        <f t="shared" si="14"/>
        <v>9.8476510809335616E-2</v>
      </c>
      <c r="T143" s="208"/>
      <c r="AG143" s="136">
        <f t="shared" si="7"/>
        <v>28</v>
      </c>
      <c r="AH143" s="136">
        <f t="shared" si="8"/>
        <v>9.8498311489501269</v>
      </c>
      <c r="AI143" s="136">
        <f t="shared" si="9"/>
        <v>2.4284017900386059E-2</v>
      </c>
      <c r="AJ143" s="136">
        <f t="shared" si="10"/>
        <v>0.17266900371828517</v>
      </c>
      <c r="AK143" s="70">
        <f t="shared" si="15"/>
        <v>8.4952203081504769E-3</v>
      </c>
      <c r="AL143" s="70">
        <f t="shared" si="16"/>
        <v>0.48674026969084894</v>
      </c>
      <c r="AM143" s="111">
        <f t="shared" si="17"/>
        <v>-0.21014222893126419</v>
      </c>
      <c r="AN143" s="111">
        <f t="shared" si="18"/>
        <v>-12.040262815233383</v>
      </c>
      <c r="AO143" s="142">
        <f t="shared" si="19"/>
        <v>1.7809385557261608</v>
      </c>
      <c r="AP143" s="142">
        <f t="shared" si="20"/>
        <v>102.04026281523338</v>
      </c>
      <c r="AR143" s="111">
        <f t="shared" si="21"/>
        <v>0.34545344395779576</v>
      </c>
      <c r="AS143" s="70">
        <f t="shared" si="22"/>
        <v>0.33786609362880471</v>
      </c>
      <c r="AW143">
        <f t="shared" si="23"/>
        <v>5.9649101999243052E-2</v>
      </c>
      <c r="AX143">
        <f t="shared" si="24"/>
        <v>8.2047462656154053E-3</v>
      </c>
      <c r="AZ143">
        <f t="shared" si="25"/>
        <v>4.4642016782846881</v>
      </c>
      <c r="BA143">
        <f t="shared" si="26"/>
        <v>0.61405186031677605</v>
      </c>
      <c r="BD143" s="7"/>
      <c r="BE143" s="7"/>
      <c r="BF143" s="7"/>
      <c r="BG143" s="7"/>
      <c r="BH143" s="7"/>
      <c r="CC143" s="89"/>
      <c r="CD143" s="219">
        <f t="shared" si="11"/>
        <v>4.2691902981049988E-2</v>
      </c>
      <c r="CE143" s="223">
        <f t="shared" si="12"/>
        <v>28</v>
      </c>
      <c r="CF143" s="76"/>
      <c r="CG143" s="219">
        <f t="shared" si="42"/>
        <v>0.09</v>
      </c>
      <c r="CH143" s="204">
        <f t="shared" si="28"/>
        <v>8.9604687377391148E-2</v>
      </c>
      <c r="CI143" s="42">
        <f t="shared" si="29"/>
        <v>-8.9604687377391148E-2</v>
      </c>
      <c r="CJ143" s="204">
        <f t="shared" si="30"/>
        <v>2.815925027121609</v>
      </c>
      <c r="CK143" s="204">
        <f t="shared" si="31"/>
        <v>0.48775713459354109</v>
      </c>
      <c r="CL143" s="214">
        <f t="shared" si="32"/>
        <v>0.30854775983875882</v>
      </c>
      <c r="CM143" s="219">
        <f t="shared" si="43"/>
        <v>0.09</v>
      </c>
      <c r="CN143" s="204">
        <f t="shared" si="33"/>
        <v>8.9604687377391148E-2</v>
      </c>
      <c r="CO143" s="42">
        <f t="shared" si="34"/>
        <v>-8.9604687377391148E-2</v>
      </c>
      <c r="CP143" s="204">
        <f t="shared" si="37"/>
        <v>5.7909638490813631</v>
      </c>
      <c r="CQ143" s="204">
        <f t="shared" si="38"/>
        <v>0.48576756281298278</v>
      </c>
      <c r="CR143" s="214">
        <f t="shared" si="39"/>
        <v>0.30655818805820051</v>
      </c>
    </row>
    <row r="144" spans="1:96" ht="15.75" thickBot="1" x14ac:dyDescent="0.3">
      <c r="A144" s="186">
        <v>0.94818000000000002</v>
      </c>
      <c r="B144" s="152">
        <v>1.0359999999999999E-2</v>
      </c>
      <c r="C144" s="152">
        <v>29</v>
      </c>
      <c r="D144" s="151">
        <f t="shared" si="0"/>
        <v>10.137541544619419</v>
      </c>
      <c r="E144" s="150">
        <f t="shared" si="1"/>
        <v>0.11076476027996496</v>
      </c>
      <c r="G144" s="184">
        <v>1.0000100000000001</v>
      </c>
      <c r="H144" s="154">
        <v>0</v>
      </c>
      <c r="I144" s="154">
        <v>29</v>
      </c>
      <c r="J144" s="143">
        <f t="shared" si="2"/>
        <v>10.691686093394573</v>
      </c>
      <c r="K144" s="153">
        <f t="shared" si="3"/>
        <v>0</v>
      </c>
      <c r="M144" s="149">
        <f t="shared" si="27"/>
        <v>10.137541544619419</v>
      </c>
      <c r="N144" s="148">
        <f t="shared" si="44"/>
        <v>2.2312960797212282E-2</v>
      </c>
      <c r="O144" s="148">
        <v>29</v>
      </c>
      <c r="P144" s="149">
        <f t="shared" si="4"/>
        <v>8.8451799482752669E-2</v>
      </c>
      <c r="Q144" s="148">
        <f t="shared" si="5"/>
        <v>10.137541544619419</v>
      </c>
      <c r="R144" s="202">
        <f t="shared" si="6"/>
        <v>0.94818000000000002</v>
      </c>
      <c r="S144" s="203">
        <f t="shared" si="14"/>
        <v>6.6538860538588623E-2</v>
      </c>
      <c r="T144" s="208"/>
      <c r="AG144" s="136">
        <f t="shared" si="7"/>
        <v>29</v>
      </c>
      <c r="AH144" s="136">
        <f t="shared" si="8"/>
        <v>10.137541544619419</v>
      </c>
      <c r="AI144" s="136">
        <f t="shared" si="9"/>
        <v>2.2312960797212282E-2</v>
      </c>
      <c r="AJ144" s="136">
        <f t="shared" si="10"/>
        <v>0.11076476027996496</v>
      </c>
      <c r="AK144" s="70">
        <f t="shared" si="15"/>
        <v>-6.8507300994266364E-3</v>
      </c>
      <c r="AL144" s="70">
        <f t="shared" si="16"/>
        <v>-0.3925179212803851</v>
      </c>
      <c r="AM144" s="111">
        <f t="shared" si="17"/>
        <v>-0.21193066270658767</v>
      </c>
      <c r="AN144" s="111">
        <f t="shared" si="18"/>
        <v>-12.142732522498065</v>
      </c>
      <c r="AO144" s="142">
        <f t="shared" si="19"/>
        <v>1.7827269895014841</v>
      </c>
      <c r="AP144" s="142">
        <f t="shared" si="20"/>
        <v>102.14273252249805</v>
      </c>
      <c r="AR144" s="111">
        <f t="shared" si="21"/>
        <v>0.29429476232486906</v>
      </c>
      <c r="AS144" s="70">
        <f t="shared" si="22"/>
        <v>0.28771714728580977</v>
      </c>
      <c r="AW144">
        <f t="shared" si="23"/>
        <v>3.2597488800563387E-2</v>
      </c>
      <c r="AX144">
        <f t="shared" si="24"/>
        <v>6.4198214280740259E-3</v>
      </c>
      <c r="AZ144">
        <f t="shared" si="25"/>
        <v>2.4396304275157079</v>
      </c>
      <c r="BA144">
        <f t="shared" si="26"/>
        <v>0.48046620373027171</v>
      </c>
      <c r="BD144" s="7"/>
      <c r="BE144" s="7"/>
      <c r="BF144" s="7"/>
      <c r="BG144" s="7"/>
      <c r="BH144" s="7"/>
      <c r="CC144" s="89"/>
      <c r="CD144" s="219">
        <f t="shared" si="11"/>
        <v>2.0672770668108482E-2</v>
      </c>
      <c r="CE144" s="223">
        <f t="shared" si="12"/>
        <v>29</v>
      </c>
      <c r="CF144" s="76"/>
      <c r="CG144" s="219">
        <f t="shared" si="42"/>
        <v>9.9999999999999992E-2</v>
      </c>
      <c r="CH144" s="204">
        <f t="shared" si="28"/>
        <v>7.8287930104199349E-2</v>
      </c>
      <c r="CI144" s="42">
        <f t="shared" si="29"/>
        <v>-7.8287930104199349E-2</v>
      </c>
      <c r="CJ144" s="204">
        <f t="shared" si="30"/>
        <v>2.8259250271216092</v>
      </c>
      <c r="CK144" s="204">
        <f t="shared" si="31"/>
        <v>0.47644037732034927</v>
      </c>
      <c r="CL144" s="214">
        <f t="shared" si="32"/>
        <v>0.31986451711195063</v>
      </c>
      <c r="CM144" s="219">
        <f t="shared" si="43"/>
        <v>9.9999999999999992E-2</v>
      </c>
      <c r="CN144" s="204">
        <f t="shared" si="33"/>
        <v>7.8287930104199349E-2</v>
      </c>
      <c r="CO144" s="42">
        <f t="shared" si="34"/>
        <v>-7.8287930104199349E-2</v>
      </c>
      <c r="CP144" s="204">
        <f t="shared" si="37"/>
        <v>5.8009638490813629</v>
      </c>
      <c r="CQ144" s="204">
        <f t="shared" si="38"/>
        <v>0.47445080553979102</v>
      </c>
      <c r="CR144" s="214">
        <f t="shared" si="39"/>
        <v>0.31787494533139227</v>
      </c>
    </row>
    <row r="145" spans="1:97" x14ac:dyDescent="0.25">
      <c r="A145" s="186">
        <v>0.97004000000000001</v>
      </c>
      <c r="B145" s="152">
        <v>5.7099999999999998E-3</v>
      </c>
      <c r="C145" s="152">
        <v>30</v>
      </c>
      <c r="D145" s="151">
        <f t="shared" si="0"/>
        <v>10.371259465441815</v>
      </c>
      <c r="E145" s="150">
        <f t="shared" si="1"/>
        <v>6.1048917104111963E-2</v>
      </c>
      <c r="M145" s="149">
        <f t="shared" si="27"/>
        <v>10.371259465441815</v>
      </c>
      <c r="N145" s="148">
        <f t="shared" si="44"/>
        <v>1.6812616471144574E-2</v>
      </c>
      <c r="O145" s="148">
        <v>30</v>
      </c>
      <c r="P145" s="149">
        <f t="shared" si="4"/>
        <v>4.4236300632967393E-2</v>
      </c>
      <c r="Q145" s="148">
        <f t="shared" si="5"/>
        <v>10.371259465441815</v>
      </c>
      <c r="R145" s="202">
        <f t="shared" si="6"/>
        <v>0.9700399999999999</v>
      </c>
      <c r="S145" s="203">
        <f t="shared" si="14"/>
        <v>3.8930766787628267E-2</v>
      </c>
      <c r="T145" s="208"/>
      <c r="AG145" s="136">
        <f t="shared" si="7"/>
        <v>30</v>
      </c>
      <c r="AH145" s="136">
        <f t="shared" si="8"/>
        <v>10.371259465441815</v>
      </c>
      <c r="AI145" s="136">
        <f t="shared" si="9"/>
        <v>1.6812616471144574E-2</v>
      </c>
      <c r="AJ145" s="136">
        <f t="shared" si="10"/>
        <v>6.1048917104111963E-2</v>
      </c>
      <c r="AK145" s="70">
        <f t="shared" si="15"/>
        <v>-2.3529771189390147E-2</v>
      </c>
      <c r="AL145" s="70">
        <f t="shared" si="16"/>
        <v>-1.3481565820605745</v>
      </c>
      <c r="AM145" s="111">
        <f t="shared" si="17"/>
        <v>-0.20959328747138611</v>
      </c>
      <c r="AN145" s="111">
        <f t="shared" si="18"/>
        <v>-12.008810786382618</v>
      </c>
      <c r="AO145" s="142">
        <f t="shared" si="19"/>
        <v>1.7803896142662825</v>
      </c>
      <c r="AP145" s="142">
        <f t="shared" si="20"/>
        <v>102.0088107863826</v>
      </c>
      <c r="AR145" s="111">
        <f t="shared" si="21"/>
        <v>0.23894713134128648</v>
      </c>
      <c r="AS145" s="70">
        <f t="shared" si="22"/>
        <v>0.2337826347298903</v>
      </c>
      <c r="AW145">
        <f t="shared" si="23"/>
        <v>1.4587463613519551E-2</v>
      </c>
      <c r="AX145">
        <f t="shared" si="24"/>
        <v>3.9304977753273291E-3</v>
      </c>
      <c r="AZ145">
        <f t="shared" si="25"/>
        <v>1.0917411555704091</v>
      </c>
      <c r="BA145">
        <f t="shared" si="26"/>
        <v>0.29416259720612659</v>
      </c>
      <c r="BD145" s="7"/>
      <c r="BE145" s="7"/>
      <c r="BF145" s="7"/>
      <c r="BG145" s="7"/>
      <c r="BH145" s="7"/>
      <c r="CC145" s="89"/>
      <c r="CD145" s="219">
        <f t="shared" si="11"/>
        <v>7.7091813450882885E-3</v>
      </c>
      <c r="CE145" s="223">
        <f t="shared" si="12"/>
        <v>30</v>
      </c>
      <c r="CF145" s="76"/>
      <c r="CG145" s="219">
        <f t="shared" si="42"/>
        <v>0.10999999999999999</v>
      </c>
      <c r="CH145" s="204">
        <f t="shared" si="28"/>
        <v>6.3474404290233419E-2</v>
      </c>
      <c r="CI145" s="42">
        <f t="shared" si="29"/>
        <v>-6.3474404290233419E-2</v>
      </c>
      <c r="CJ145" s="204">
        <f t="shared" si="30"/>
        <v>2.835925027121609</v>
      </c>
      <c r="CK145" s="204">
        <f t="shared" si="31"/>
        <v>0.46162685150638338</v>
      </c>
      <c r="CL145" s="214">
        <f t="shared" si="32"/>
        <v>0.33467804292591652</v>
      </c>
      <c r="CM145" s="219">
        <f t="shared" si="43"/>
        <v>0.10999999999999999</v>
      </c>
      <c r="CN145" s="204">
        <f t="shared" si="33"/>
        <v>6.3474404290233419E-2</v>
      </c>
      <c r="CO145" s="42">
        <f t="shared" si="34"/>
        <v>-6.3474404290233419E-2</v>
      </c>
      <c r="CP145" s="204">
        <f t="shared" si="37"/>
        <v>5.8109638490813635</v>
      </c>
      <c r="CQ145" s="204">
        <f t="shared" si="38"/>
        <v>0.45963727972582508</v>
      </c>
      <c r="CR145" s="214">
        <f t="shared" si="39"/>
        <v>0.33268847114535821</v>
      </c>
    </row>
    <row r="146" spans="1:97" x14ac:dyDescent="0.25">
      <c r="A146" s="186">
        <v>0.98633999999999999</v>
      </c>
      <c r="B146" s="152">
        <v>2.4199999999999998E-3</v>
      </c>
      <c r="C146" s="152">
        <v>31</v>
      </c>
      <c r="D146" s="151">
        <f t="shared" si="0"/>
        <v>10.545532206036741</v>
      </c>
      <c r="E146" s="150">
        <f t="shared" si="1"/>
        <v>2.5873621609798763E-2</v>
      </c>
      <c r="M146" s="149">
        <f t="shared" si="27"/>
        <v>10.545532206036741</v>
      </c>
      <c r="N146" s="148">
        <f t="shared" si="44"/>
        <v>9.5656634938379621E-3</v>
      </c>
      <c r="O146" s="148">
        <v>31</v>
      </c>
      <c r="P146" s="149">
        <f t="shared" si="4"/>
        <v>1.6307958115960801E-2</v>
      </c>
      <c r="Q146" s="148">
        <f t="shared" si="5"/>
        <v>10.545532206036741</v>
      </c>
      <c r="R146" s="202">
        <f t="shared" si="6"/>
        <v>0.98633999999999999</v>
      </c>
      <c r="S146" s="203">
        <f t="shared" si="14"/>
        <v>1.7719642551818363E-2</v>
      </c>
      <c r="T146" s="208"/>
      <c r="AG146" s="136">
        <f t="shared" si="7"/>
        <v>31</v>
      </c>
      <c r="AH146" s="136">
        <f t="shared" si="8"/>
        <v>10.545532206036741</v>
      </c>
      <c r="AI146" s="136">
        <f t="shared" si="9"/>
        <v>9.5656634938379621E-3</v>
      </c>
      <c r="AJ146" s="136">
        <f t="shared" si="10"/>
        <v>2.5873621609798763E-2</v>
      </c>
      <c r="AK146" s="70">
        <f t="shared" si="15"/>
        <v>-4.1560028681110313E-2</v>
      </c>
      <c r="AL146" s="70">
        <f t="shared" si="16"/>
        <v>-2.3812142398702743</v>
      </c>
      <c r="AM146" s="111">
        <f t="shared" si="17"/>
        <v>-0.19916463454640934</v>
      </c>
      <c r="AN146" s="111">
        <f t="shared" si="18"/>
        <v>-11.411292987774686</v>
      </c>
      <c r="AO146" s="142">
        <f t="shared" si="19"/>
        <v>1.7699609613413059</v>
      </c>
      <c r="AP146" s="142">
        <f t="shared" si="20"/>
        <v>101.41129298777469</v>
      </c>
      <c r="AR146" s="111">
        <f t="shared" si="21"/>
        <v>0.1777872029353593</v>
      </c>
      <c r="AS146" s="70">
        <f t="shared" si="22"/>
        <v>0.17442335406109377</v>
      </c>
      <c r="AW146">
        <f t="shared" si="23"/>
        <v>4.5999988158139903E-3</v>
      </c>
      <c r="AX146">
        <f t="shared" si="24"/>
        <v>1.6684751104149782E-3</v>
      </c>
      <c r="AZ146">
        <f t="shared" si="25"/>
        <v>0.34426876089308078</v>
      </c>
      <c r="BA146">
        <f t="shared" si="26"/>
        <v>0.12487043624202919</v>
      </c>
      <c r="BD146" s="7"/>
      <c r="BE146" s="7"/>
      <c r="BF146" s="7"/>
      <c r="BG146" s="7"/>
      <c r="BH146" s="7"/>
      <c r="CC146" s="89"/>
      <c r="CD146" s="219">
        <f t="shared" si="11"/>
        <v>1.7749626627941687E-3</v>
      </c>
      <c r="CE146" s="223">
        <f t="shared" si="12"/>
        <v>31</v>
      </c>
      <c r="CF146" s="76"/>
      <c r="CG146" s="219">
        <f t="shared" si="42"/>
        <v>0.11999999999999998</v>
      </c>
      <c r="CH146" s="204">
        <f t="shared" si="28"/>
        <v>4.1581245772583639E-2</v>
      </c>
      <c r="CI146" s="42">
        <f t="shared" si="29"/>
        <v>-4.1581245772583639E-2</v>
      </c>
      <c r="CJ146" s="204">
        <f t="shared" si="30"/>
        <v>2.8459250271216092</v>
      </c>
      <c r="CK146" s="204">
        <f t="shared" si="31"/>
        <v>0.4397336929887336</v>
      </c>
      <c r="CL146" s="214">
        <f t="shared" si="32"/>
        <v>0.3565712014435663</v>
      </c>
      <c r="CM146" s="219">
        <f>CM145+$CN$118</f>
        <v>0.11999999999999998</v>
      </c>
      <c r="CN146" s="204">
        <f t="shared" si="33"/>
        <v>4.1581245772583639E-2</v>
      </c>
      <c r="CO146" s="42">
        <f t="shared" si="34"/>
        <v>-4.1581245772583639E-2</v>
      </c>
      <c r="CP146" s="204">
        <f t="shared" si="37"/>
        <v>5.8209638490813633</v>
      </c>
      <c r="CQ146" s="204">
        <f t="shared" si="38"/>
        <v>0.4377441212081753</v>
      </c>
      <c r="CR146" s="214">
        <f t="shared" si="39"/>
        <v>0.35458162966300799</v>
      </c>
    </row>
    <row r="147" spans="1:97" ht="15.75" thickBot="1" x14ac:dyDescent="0.3">
      <c r="A147" s="186">
        <v>0.99651999999999996</v>
      </c>
      <c r="B147" s="152">
        <v>5.6999999999999998E-4</v>
      </c>
      <c r="C147" s="152">
        <v>32</v>
      </c>
      <c r="D147" s="151">
        <f t="shared" si="0"/>
        <v>10.654372482064737</v>
      </c>
      <c r="E147" s="150">
        <f t="shared" si="1"/>
        <v>6.0942001312335936E-3</v>
      </c>
      <c r="M147" s="149">
        <f t="shared" si="27"/>
        <v>10.654372482064737</v>
      </c>
      <c r="N147" s="148">
        <f t="shared" si="44"/>
        <v>2.837936636353676E-3</v>
      </c>
      <c r="O147" s="148">
        <v>32</v>
      </c>
      <c r="P147" s="149">
        <f t="shared" si="4"/>
        <v>3.2562634948799176E-3</v>
      </c>
      <c r="Q147" s="148">
        <f t="shared" si="5"/>
        <v>10.654372482064737</v>
      </c>
      <c r="R147" s="202">
        <f t="shared" si="6"/>
        <v>0.99651999999999996</v>
      </c>
      <c r="S147" s="203">
        <f t="shared" si="14"/>
        <v>4.466068383793635E-3</v>
      </c>
      <c r="T147" s="208"/>
      <c r="AG147" s="136">
        <f t="shared" si="7"/>
        <v>32</v>
      </c>
      <c r="AH147" s="136">
        <f t="shared" si="8"/>
        <v>10.654372482064737</v>
      </c>
      <c r="AI147" s="136">
        <f t="shared" si="9"/>
        <v>2.837936636353676E-3</v>
      </c>
      <c r="AJ147" s="136">
        <f t="shared" si="10"/>
        <v>6.0942001312335936E-3</v>
      </c>
      <c r="AK147" s="70">
        <f t="shared" si="15"/>
        <v>-6.1734297245922692E-2</v>
      </c>
      <c r="AL147" s="70">
        <f t="shared" si="16"/>
        <v>-3.5371146833974723</v>
      </c>
      <c r="AM147" s="111">
        <f t="shared" si="17"/>
        <v>-0.17976705442616622</v>
      </c>
      <c r="AN147" s="111">
        <f t="shared" si="18"/>
        <v>-10.299893514117889</v>
      </c>
      <c r="AO147" s="142">
        <f t="shared" si="19"/>
        <v>1.7505633812210628</v>
      </c>
      <c r="AP147" s="142">
        <f t="shared" si="20"/>
        <v>100.29989351411788</v>
      </c>
      <c r="AR147" s="111">
        <f t="shared" si="21"/>
        <v>0.11062292348278024</v>
      </c>
      <c r="AS147" s="70">
        <f t="shared" si="22"/>
        <v>0.10904800775126175</v>
      </c>
      <c r="AW147">
        <f t="shared" si="23"/>
        <v>6.7415823480620313E-4</v>
      </c>
      <c r="AX147">
        <f t="shared" si="24"/>
        <v>3.0947133631868538E-4</v>
      </c>
      <c r="AZ147">
        <f t="shared" si="25"/>
        <v>5.0454713019644229E-2</v>
      </c>
      <c r="BA147">
        <f t="shared" si="26"/>
        <v>2.3161161068148389E-2</v>
      </c>
      <c r="BD147" s="7"/>
      <c r="BE147" s="7"/>
      <c r="BF147" s="7"/>
      <c r="BG147" s="7"/>
      <c r="BH147" s="7"/>
      <c r="CC147" s="89"/>
      <c r="CD147" s="219">
        <f t="shared" si="11"/>
        <v>1.2115480444569158E-4</v>
      </c>
      <c r="CE147" s="223">
        <f t="shared" si="12"/>
        <v>32</v>
      </c>
      <c r="CF147" s="76"/>
      <c r="CG147" s="226">
        <f>AB123/2</f>
        <v>0.127</v>
      </c>
      <c r="CH147" s="227">
        <f t="shared" si="28"/>
        <v>0</v>
      </c>
      <c r="CI147" s="231">
        <f t="shared" si="29"/>
        <v>0</v>
      </c>
      <c r="CJ147" s="227">
        <f t="shared" si="30"/>
        <v>2.8529250271216089</v>
      </c>
      <c r="CK147" s="227">
        <f t="shared" si="31"/>
        <v>0.39815244721614995</v>
      </c>
      <c r="CL147" s="217">
        <f t="shared" si="32"/>
        <v>0.39815244721614995</v>
      </c>
      <c r="CM147" s="226">
        <f>AB123/2</f>
        <v>0.127</v>
      </c>
      <c r="CN147" s="227">
        <f t="shared" si="33"/>
        <v>0</v>
      </c>
      <c r="CO147" s="231">
        <f t="shared" si="34"/>
        <v>0</v>
      </c>
      <c r="CP147" s="227">
        <f t="shared" si="37"/>
        <v>5.827963849081363</v>
      </c>
      <c r="CQ147" s="227">
        <f t="shared" si="38"/>
        <v>0.39616287543559164</v>
      </c>
      <c r="CR147" s="217">
        <f t="shared" si="39"/>
        <v>0.39616287543559164</v>
      </c>
    </row>
    <row r="148" spans="1:97" ht="15.75" thickBot="1" x14ac:dyDescent="0.3">
      <c r="A148" s="188">
        <v>1</v>
      </c>
      <c r="B148" s="147">
        <v>0</v>
      </c>
      <c r="C148" s="147">
        <v>33</v>
      </c>
      <c r="D148" s="146">
        <f t="shared" si="0"/>
        <v>10.691579177602796</v>
      </c>
      <c r="E148" s="145">
        <f t="shared" si="1"/>
        <v>0</v>
      </c>
      <c r="M148" s="144">
        <f t="shared" si="27"/>
        <v>10.691579177602796</v>
      </c>
      <c r="N148" s="143">
        <f>((L145-K144)/(K145-J144))*(M148-J144)+K144</f>
        <v>0</v>
      </c>
      <c r="O148" s="143">
        <v>33</v>
      </c>
      <c r="P148" s="144">
        <f t="shared" si="4"/>
        <v>0</v>
      </c>
      <c r="Q148" s="143">
        <f t="shared" si="5"/>
        <v>10.691579177602796</v>
      </c>
      <c r="R148" s="210">
        <f t="shared" si="6"/>
        <v>1</v>
      </c>
      <c r="S148" s="216">
        <f t="shared" si="14"/>
        <v>0</v>
      </c>
      <c r="T148" s="211"/>
      <c r="AG148" s="136">
        <f t="shared" si="7"/>
        <v>33</v>
      </c>
      <c r="AH148" s="136">
        <f t="shared" si="8"/>
        <v>10.691579177602796</v>
      </c>
      <c r="AI148" s="136">
        <f t="shared" si="9"/>
        <v>0</v>
      </c>
      <c r="AJ148" s="136">
        <f t="shared" si="10"/>
        <v>0</v>
      </c>
      <c r="AK148" s="70">
        <f t="shared" si="15"/>
        <v>-7.6127486078197235E-2</v>
      </c>
      <c r="AL148" s="70">
        <f t="shared" si="16"/>
        <v>-4.3617836572216326</v>
      </c>
      <c r="AM148" s="111">
        <f t="shared" si="17"/>
        <v>-0.1623514819128114</v>
      </c>
      <c r="AN148" s="111">
        <f t="shared" si="18"/>
        <v>-9.3020547112986147</v>
      </c>
      <c r="AO148" s="142">
        <f t="shared" si="19"/>
        <v>1.7331478087077079</v>
      </c>
      <c r="AP148" s="142">
        <f t="shared" si="20"/>
        <v>99.302054711298609</v>
      </c>
      <c r="AR148" s="111">
        <f t="shared" si="21"/>
        <v>3.7702486232360249E-2</v>
      </c>
      <c r="AS148" s="70">
        <f t="shared" si="22"/>
        <v>3.731477022860713E-2</v>
      </c>
      <c r="AU148">
        <f>SUM(AR128:AS148)</f>
        <v>16.898505214118551</v>
      </c>
      <c r="AW148">
        <f>AR148*E147</f>
        <v>2.2976649654508259E-4</v>
      </c>
      <c r="AX148">
        <f>AS148*ABS(N147)</f>
        <v>1.0589695350888362E-4</v>
      </c>
      <c r="AZ148">
        <f t="shared" si="25"/>
        <v>1.7195966831205056E-2</v>
      </c>
      <c r="BA148">
        <f t="shared" si="26"/>
        <v>7.9254396417500639E-3</v>
      </c>
      <c r="BD148" s="7"/>
      <c r="BE148" s="7"/>
      <c r="BF148" s="7"/>
      <c r="BG148" s="7"/>
      <c r="BH148" s="7"/>
      <c r="CC148" s="89"/>
      <c r="CD148" s="219">
        <f t="shared" si="11"/>
        <v>0</v>
      </c>
      <c r="CE148" s="223">
        <f t="shared" si="12"/>
        <v>33</v>
      </c>
      <c r="CF148" s="214">
        <f>SUM(CD128:CD148)</f>
        <v>7.2027168635550982</v>
      </c>
      <c r="CG148" s="89"/>
      <c r="CH148" s="89"/>
      <c r="CI148" s="89"/>
      <c r="CL148" s="89"/>
      <c r="CM148" s="89"/>
      <c r="CN148" s="204"/>
      <c r="CO148" s="42"/>
      <c r="CP148" s="204"/>
      <c r="CQ148" s="204"/>
      <c r="CR148" s="204"/>
      <c r="CS148" s="42"/>
    </row>
    <row r="149" spans="1:97" s="89" customFormat="1" x14ac:dyDescent="0.25">
      <c r="A149" s="140"/>
      <c r="B149" s="19"/>
      <c r="C149" s="19"/>
      <c r="D149" s="139"/>
      <c r="E149" s="139"/>
      <c r="M149" s="139"/>
      <c r="N149" s="139"/>
      <c r="O149" s="139"/>
      <c r="P149" s="139"/>
      <c r="Q149" s="139"/>
      <c r="R149" s="138"/>
      <c r="S149" s="137"/>
      <c r="T149" s="137"/>
      <c r="CD149" s="77" t="s">
        <v>1925</v>
      </c>
      <c r="CE149" s="42"/>
      <c r="CF149" s="76"/>
      <c r="CJ149"/>
      <c r="CK149"/>
      <c r="CN149" s="204"/>
      <c r="CO149" s="42"/>
      <c r="CP149" s="204"/>
      <c r="CQ149" s="204"/>
      <c r="CR149" s="204"/>
      <c r="CS149" s="19"/>
    </row>
    <row r="150" spans="1:97" s="89" customFormat="1" ht="15.75" thickBot="1" x14ac:dyDescent="0.3">
      <c r="A150" s="140"/>
      <c r="B150" s="19"/>
      <c r="C150" s="19"/>
      <c r="D150" s="139"/>
      <c r="E150" s="139"/>
      <c r="M150" s="139"/>
      <c r="N150" s="139"/>
      <c r="O150" s="139"/>
      <c r="P150" s="139">
        <f>MAX(P116:P148)</f>
        <v>1.4963973444128436</v>
      </c>
      <c r="Q150" s="139"/>
      <c r="R150" s="138"/>
      <c r="S150" s="137"/>
      <c r="T150" s="137"/>
      <c r="AZ150" s="141" t="s">
        <v>1935</v>
      </c>
      <c r="BA150" s="141">
        <f>SUM(AZ117:BA148)</f>
        <v>763.38464395900053</v>
      </c>
      <c r="BB150" s="141" t="s">
        <v>1936</v>
      </c>
      <c r="CD150" s="226">
        <f>SUM(CD116:CD148)</f>
        <v>10.304621817991835</v>
      </c>
      <c r="CE150" s="227">
        <f>CD150-CD127</f>
        <v>9.6748104919680884</v>
      </c>
      <c r="CF150" s="74">
        <f>SUM(CF116:CF148)</f>
        <v>9.6748104919680902</v>
      </c>
      <c r="CJ150"/>
      <c r="CK150"/>
    </row>
    <row r="151" spans="1:97" s="89" customFormat="1" x14ac:dyDescent="0.25">
      <c r="A151" s="140" t="s">
        <v>2042</v>
      </c>
      <c r="B151" s="19"/>
      <c r="C151" s="19"/>
      <c r="D151" s="139"/>
      <c r="E151" s="139"/>
      <c r="M151" s="139"/>
      <c r="N151" s="139"/>
      <c r="O151" s="139"/>
      <c r="P151" s="139"/>
      <c r="Q151" s="139"/>
      <c r="R151" s="138"/>
      <c r="S151" s="137"/>
      <c r="T151" s="137"/>
      <c r="AZ151" s="141" t="s">
        <v>1935</v>
      </c>
      <c r="BA151" s="141">
        <f>BA150*((1/12)^3)</f>
        <v>0.44177352080960675</v>
      </c>
      <c r="BB151" s="141" t="s">
        <v>1934</v>
      </c>
    </row>
    <row r="152" spans="1:97" s="89" customFormat="1" x14ac:dyDescent="0.25">
      <c r="A152" s="140"/>
      <c r="B152" s="19"/>
      <c r="C152" s="19"/>
      <c r="D152" s="139"/>
      <c r="E152" s="139"/>
      <c r="M152" s="139"/>
      <c r="N152" s="139"/>
      <c r="O152" s="139"/>
      <c r="P152" s="139"/>
      <c r="Q152" s="139"/>
      <c r="R152" s="138"/>
      <c r="S152" s="137"/>
      <c r="T152" s="137"/>
    </row>
    <row r="153" spans="1:97" s="89" customFormat="1" x14ac:dyDescent="0.25">
      <c r="A153" s="140"/>
      <c r="B153" s="19"/>
      <c r="C153" s="19"/>
      <c r="D153" s="139"/>
      <c r="E153" s="139"/>
      <c r="M153" s="139"/>
      <c r="N153" s="139"/>
      <c r="O153" s="139"/>
      <c r="P153" s="139"/>
      <c r="Q153" s="139"/>
      <c r="R153" s="138"/>
      <c r="S153" s="137"/>
      <c r="T153" s="137"/>
    </row>
    <row r="154" spans="1:97" s="89" customFormat="1" x14ac:dyDescent="0.25">
      <c r="A154" s="140"/>
      <c r="B154" s="19"/>
      <c r="C154" s="19"/>
      <c r="D154" s="139"/>
      <c r="E154" s="139"/>
      <c r="M154" s="139"/>
      <c r="N154" s="139"/>
      <c r="O154" s="139"/>
      <c r="P154" s="139"/>
      <c r="Q154" s="139"/>
      <c r="R154" s="138"/>
      <c r="S154" s="137"/>
      <c r="T154" s="137"/>
    </row>
    <row r="155" spans="1:97" s="89" customFormat="1" x14ac:dyDescent="0.25">
      <c r="A155" s="140"/>
      <c r="B155" s="19"/>
      <c r="C155" s="19"/>
      <c r="D155" s="139"/>
      <c r="E155" s="139"/>
      <c r="M155" s="139"/>
      <c r="N155" s="139"/>
      <c r="O155" s="139"/>
      <c r="P155" s="139"/>
      <c r="Q155" s="139"/>
      <c r="R155" s="138"/>
      <c r="S155" s="137"/>
      <c r="T155" s="137"/>
    </row>
    <row r="156" spans="1:97" s="89" customFormat="1" x14ac:dyDescent="0.25">
      <c r="A156" s="140"/>
      <c r="B156" s="19"/>
      <c r="C156" s="19"/>
      <c r="D156" s="139"/>
      <c r="E156" s="139"/>
      <c r="M156" s="139"/>
      <c r="N156" s="139"/>
      <c r="O156" s="139"/>
      <c r="P156" s="139"/>
      <c r="Q156" s="139"/>
      <c r="R156" s="138"/>
      <c r="S156" s="137"/>
      <c r="T156" s="137"/>
    </row>
    <row r="157" spans="1:97" s="89" customFormat="1" x14ac:dyDescent="0.25">
      <c r="A157" s="140"/>
      <c r="B157" s="19"/>
      <c r="C157" s="19"/>
      <c r="D157" s="139"/>
      <c r="E157" s="139"/>
      <c r="M157" s="139"/>
      <c r="N157" s="139"/>
      <c r="O157" s="139"/>
      <c r="P157" s="139"/>
      <c r="Q157" s="139"/>
      <c r="R157" s="138"/>
      <c r="S157" s="137"/>
      <c r="T157" s="137"/>
    </row>
    <row r="158" spans="1:97" s="89" customFormat="1" x14ac:dyDescent="0.25">
      <c r="A158" s="140"/>
      <c r="B158" s="19"/>
      <c r="C158" s="19"/>
      <c r="D158" s="139"/>
      <c r="E158" s="139"/>
      <c r="M158" s="139"/>
      <c r="N158" s="139"/>
      <c r="O158" s="139"/>
      <c r="P158" s="139"/>
      <c r="Q158" s="139"/>
      <c r="R158" s="138"/>
      <c r="S158" s="137"/>
      <c r="T158" s="137"/>
    </row>
    <row r="159" spans="1:97" s="89" customFormat="1" x14ac:dyDescent="0.25">
      <c r="A159" s="140"/>
      <c r="B159" s="19"/>
      <c r="C159" s="19"/>
      <c r="D159" s="139"/>
      <c r="E159" s="139"/>
      <c r="M159" s="139"/>
      <c r="N159" s="139"/>
      <c r="O159" s="139"/>
      <c r="P159" s="139"/>
      <c r="Q159" s="139"/>
      <c r="R159" s="138"/>
      <c r="S159" s="137"/>
      <c r="T159" s="137"/>
    </row>
    <row r="160" spans="1:97" s="89" customFormat="1" x14ac:dyDescent="0.25">
      <c r="A160" s="140"/>
      <c r="B160" s="19"/>
      <c r="C160" s="19"/>
      <c r="D160" s="139"/>
      <c r="E160" s="139"/>
      <c r="M160" s="139"/>
      <c r="N160" s="139"/>
      <c r="O160" s="139"/>
      <c r="P160" s="139"/>
      <c r="Q160" s="139"/>
      <c r="R160" s="138"/>
      <c r="S160" s="137"/>
      <c r="T160" s="137"/>
    </row>
    <row r="161" spans="1:20" s="89" customFormat="1" x14ac:dyDescent="0.25">
      <c r="A161" s="140"/>
      <c r="B161" s="19"/>
      <c r="C161" s="19"/>
      <c r="D161" s="139"/>
      <c r="E161" s="139"/>
      <c r="M161" s="139"/>
      <c r="N161" s="139"/>
      <c r="O161" s="139"/>
      <c r="P161" s="139"/>
      <c r="Q161" s="139"/>
      <c r="R161" s="138"/>
      <c r="S161" s="137"/>
      <c r="T161" s="137"/>
    </row>
    <row r="162" spans="1:20" s="89" customFormat="1" x14ac:dyDescent="0.25">
      <c r="A162" s="140"/>
      <c r="B162" s="19"/>
      <c r="C162" s="19"/>
      <c r="D162" s="139"/>
      <c r="E162" s="139"/>
      <c r="M162" s="139"/>
      <c r="N162" s="139"/>
      <c r="O162" s="139"/>
      <c r="P162" s="139"/>
      <c r="Q162" s="139"/>
      <c r="R162" s="138"/>
      <c r="S162" s="137"/>
      <c r="T162" s="137"/>
    </row>
    <row r="163" spans="1:20" s="89" customFormat="1" x14ac:dyDescent="0.25">
      <c r="A163" s="140"/>
      <c r="B163" s="19"/>
      <c r="C163" s="19"/>
      <c r="D163" s="139"/>
      <c r="E163" s="139"/>
      <c r="M163" s="139"/>
      <c r="N163" s="139"/>
      <c r="O163" s="139"/>
      <c r="P163" s="139"/>
      <c r="Q163" s="139"/>
      <c r="R163" s="138"/>
      <c r="S163" s="137"/>
      <c r="T163" s="137"/>
    </row>
    <row r="164" spans="1:20" s="89" customFormat="1" x14ac:dyDescent="0.25">
      <c r="A164" s="140"/>
      <c r="B164" s="19"/>
      <c r="C164" s="19"/>
      <c r="D164" s="139"/>
      <c r="E164" s="139"/>
      <c r="M164" s="139"/>
      <c r="N164" s="139"/>
      <c r="O164" s="139"/>
      <c r="P164" s="139"/>
      <c r="Q164" s="139"/>
      <c r="R164" s="138"/>
      <c r="S164" s="137"/>
      <c r="T164" s="137"/>
    </row>
    <row r="165" spans="1:20" s="89" customFormat="1" x14ac:dyDescent="0.25"/>
    <row r="166" spans="1:20" s="89" customFormat="1" x14ac:dyDescent="0.25"/>
    <row r="167" spans="1:20" s="89" customFormat="1" x14ac:dyDescent="0.25"/>
    <row r="168" spans="1:20" s="89" customFormat="1" x14ac:dyDescent="0.25"/>
    <row r="169" spans="1:20" s="89" customFormat="1" x14ac:dyDescent="0.25"/>
    <row r="170" spans="1:20" s="89" customFormat="1" x14ac:dyDescent="0.25"/>
    <row r="171" spans="1:20" s="89" customFormat="1" x14ac:dyDescent="0.25"/>
    <row r="172" spans="1:20" s="89" customFormat="1" x14ac:dyDescent="0.25"/>
    <row r="173" spans="1:20" s="89" customFormat="1" x14ac:dyDescent="0.25"/>
    <row r="174" spans="1:20" s="195" customFormat="1" ht="15.75" thickBot="1" x14ac:dyDescent="0.3"/>
    <row r="175" spans="1:20" s="89" customFormat="1" x14ac:dyDescent="0.25">
      <c r="A175" s="194" t="s">
        <v>2012</v>
      </c>
    </row>
    <row r="176" spans="1:20" s="89" customFormat="1" x14ac:dyDescent="0.25">
      <c r="A176" s="194"/>
    </row>
    <row r="177" spans="1:3" s="89" customFormat="1" x14ac:dyDescent="0.25">
      <c r="A177" s="89" t="s">
        <v>2013</v>
      </c>
    </row>
    <row r="178" spans="1:3" s="89" customFormat="1" ht="18.75" x14ac:dyDescent="0.3">
      <c r="A178" s="58" t="s">
        <v>1826</v>
      </c>
      <c r="B178"/>
      <c r="C178"/>
    </row>
    <row r="179" spans="1:3" s="89" customFormat="1" x14ac:dyDescent="0.25">
      <c r="A179" s="59" t="s">
        <v>1827</v>
      </c>
      <c r="B179"/>
      <c r="C179"/>
    </row>
    <row r="180" spans="1:3" s="89" customFormat="1" x14ac:dyDescent="0.25">
      <c r="A180" s="64" t="s">
        <v>1828</v>
      </c>
      <c r="B180" s="64"/>
      <c r="C180" s="60">
        <v>2760.7739999999999</v>
      </c>
    </row>
    <row r="181" spans="1:3" s="89" customFormat="1" x14ac:dyDescent="0.25">
      <c r="A181" s="65" t="s">
        <v>1829</v>
      </c>
      <c r="B181" s="65"/>
      <c r="C181" s="61">
        <v>11.2</v>
      </c>
    </row>
    <row r="182" spans="1:3" s="89" customFormat="1" x14ac:dyDescent="0.25">
      <c r="A182" s="66" t="s">
        <v>1830</v>
      </c>
      <c r="B182" s="66"/>
      <c r="C182" s="62">
        <v>50.874114955059305</v>
      </c>
    </row>
    <row r="183" spans="1:3" s="89" customFormat="1" x14ac:dyDescent="0.25">
      <c r="A183" s="67" t="s">
        <v>1831</v>
      </c>
      <c r="B183" s="67"/>
      <c r="C183" s="63">
        <v>40</v>
      </c>
    </row>
    <row r="184" spans="1:3" s="89" customFormat="1" x14ac:dyDescent="0.25">
      <c r="A184"/>
      <c r="B184"/>
      <c r="C184"/>
    </row>
    <row r="185" spans="1:3" s="89" customFormat="1" x14ac:dyDescent="0.25">
      <c r="A185"/>
      <c r="B185"/>
      <c r="C185"/>
    </row>
    <row r="186" spans="1:3" s="89" customFormat="1" x14ac:dyDescent="0.25">
      <c r="A186" s="59" t="s">
        <v>1832</v>
      </c>
      <c r="B186"/>
      <c r="C186"/>
    </row>
    <row r="187" spans="1:3" s="89" customFormat="1" x14ac:dyDescent="0.25">
      <c r="A187" s="64" t="s">
        <v>1833</v>
      </c>
      <c r="B187" s="64"/>
      <c r="C187" s="60">
        <v>-867.02700000000004</v>
      </c>
    </row>
    <row r="188" spans="1:3" s="89" customFormat="1" x14ac:dyDescent="0.25">
      <c r="A188" s="65" t="s">
        <v>1829</v>
      </c>
      <c r="B188" s="65"/>
      <c r="C188" s="61">
        <v>300.33999999999997</v>
      </c>
    </row>
    <row r="189" spans="1:3" s="89" customFormat="1" x14ac:dyDescent="0.25">
      <c r="A189" s="66" t="s">
        <v>1830</v>
      </c>
      <c r="B189" s="66"/>
      <c r="C189" s="62">
        <v>44.998342426664422</v>
      </c>
    </row>
    <row r="190" spans="1:3" s="89" customFormat="1" x14ac:dyDescent="0.25">
      <c r="A190" s="67" t="s">
        <v>1831</v>
      </c>
      <c r="B190" s="67"/>
      <c r="C190" s="63">
        <v>30</v>
      </c>
    </row>
    <row r="191" spans="1:3" s="89" customFormat="1" x14ac:dyDescent="0.25"/>
    <row r="192" spans="1:3" s="89" customFormat="1" x14ac:dyDescent="0.25">
      <c r="A192" s="89" t="s">
        <v>2017</v>
      </c>
    </row>
    <row r="193" spans="1:17" s="89" customFormat="1" x14ac:dyDescent="0.25">
      <c r="A193" s="194" t="s">
        <v>2015</v>
      </c>
    </row>
    <row r="194" spans="1:17" s="89" customFormat="1" x14ac:dyDescent="0.25"/>
    <row r="195" spans="1:17" s="89" customFormat="1" ht="15.75" x14ac:dyDescent="0.25">
      <c r="A195" s="516" t="s">
        <v>739</v>
      </c>
      <c r="B195" s="516"/>
      <c r="C195" s="516"/>
      <c r="D195" s="34"/>
      <c r="E195" s="516" t="s">
        <v>740</v>
      </c>
      <c r="F195" s="516"/>
      <c r="G195" s="516"/>
      <c r="H195" s="34"/>
      <c r="I195" s="516" t="s">
        <v>738</v>
      </c>
      <c r="J195" s="516"/>
      <c r="K195" s="516"/>
      <c r="L195" s="34"/>
      <c r="M195" s="516" t="s">
        <v>741</v>
      </c>
      <c r="N195" s="516"/>
      <c r="O195" s="516"/>
      <c r="P195"/>
      <c r="Q195"/>
    </row>
    <row r="196" spans="1:17" s="89" customFormat="1" x14ac:dyDescent="0.25">
      <c r="A196" s="33"/>
      <c r="B196" s="35" t="s">
        <v>742</v>
      </c>
      <c r="C196" s="35"/>
      <c r="D196" s="35" t="s">
        <v>743</v>
      </c>
      <c r="E196" s="34"/>
      <c r="F196" s="35" t="s">
        <v>742</v>
      </c>
      <c r="G196" s="35"/>
      <c r="H196" s="35" t="s">
        <v>743</v>
      </c>
      <c r="I196" s="34"/>
      <c r="J196" s="35" t="s">
        <v>742</v>
      </c>
      <c r="K196" s="35"/>
      <c r="L196" s="35" t="s">
        <v>743</v>
      </c>
      <c r="M196" s="34"/>
      <c r="N196" s="35" t="s">
        <v>742</v>
      </c>
      <c r="O196" s="35"/>
      <c r="P196" s="35" t="s">
        <v>743</v>
      </c>
      <c r="Q196"/>
    </row>
    <row r="197" spans="1:17" s="89" customFormat="1" x14ac:dyDescent="0.25">
      <c r="A197" s="36" t="s">
        <v>744</v>
      </c>
      <c r="B197" s="37">
        <v>0.67</v>
      </c>
      <c r="C197" s="38"/>
      <c r="D197" s="37">
        <v>0.67</v>
      </c>
      <c r="E197" s="34"/>
      <c r="F197" s="37">
        <v>0.63</v>
      </c>
      <c r="G197" s="38"/>
      <c r="H197" s="37">
        <v>0.63</v>
      </c>
      <c r="I197" s="34"/>
      <c r="J197" s="37">
        <v>0.63</v>
      </c>
      <c r="K197" s="38"/>
      <c r="L197" s="37">
        <v>0.63</v>
      </c>
      <c r="M197" s="34"/>
      <c r="N197" s="37">
        <v>0.6</v>
      </c>
      <c r="O197" s="38"/>
      <c r="P197" s="37">
        <v>0.6</v>
      </c>
      <c r="Q197"/>
    </row>
    <row r="198" spans="1:17" s="89" customFormat="1" x14ac:dyDescent="0.25">
      <c r="A198" s="36" t="s">
        <v>745</v>
      </c>
      <c r="B198" s="38" t="s">
        <v>746</v>
      </c>
      <c r="C198" s="38"/>
      <c r="D198" s="38" t="s">
        <v>747</v>
      </c>
      <c r="E198" s="34"/>
      <c r="F198" s="38" t="s">
        <v>748</v>
      </c>
      <c r="G198" s="38"/>
      <c r="H198" s="38" t="s">
        <v>749</v>
      </c>
      <c r="I198" s="34"/>
      <c r="J198" s="38" t="s">
        <v>750</v>
      </c>
      <c r="K198" s="38"/>
      <c r="L198" s="38" t="s">
        <v>751</v>
      </c>
      <c r="M198" s="34"/>
      <c r="N198" s="38" t="s">
        <v>752</v>
      </c>
      <c r="O198" s="38"/>
      <c r="P198" s="38" t="s">
        <v>753</v>
      </c>
      <c r="Q198"/>
    </row>
    <row r="199" spans="1:17" s="89" customFormat="1" x14ac:dyDescent="0.25">
      <c r="A199" s="36" t="s">
        <v>754</v>
      </c>
      <c r="B199" s="38" t="s">
        <v>755</v>
      </c>
      <c r="C199" s="38"/>
      <c r="D199" s="38" t="s">
        <v>756</v>
      </c>
      <c r="E199" s="34"/>
      <c r="F199" s="38" t="s">
        <v>757</v>
      </c>
      <c r="G199" s="38"/>
      <c r="H199" s="38" t="s">
        <v>758</v>
      </c>
      <c r="I199" s="34"/>
      <c r="J199" s="38" t="s">
        <v>759</v>
      </c>
      <c r="K199" s="38"/>
      <c r="L199" s="38" t="s">
        <v>760</v>
      </c>
      <c r="M199" s="34"/>
      <c r="N199" s="38" t="s">
        <v>755</v>
      </c>
      <c r="O199" s="38"/>
      <c r="P199" s="38" t="s">
        <v>756</v>
      </c>
      <c r="Q199"/>
    </row>
    <row r="200" spans="1:17" s="89" customFormat="1" x14ac:dyDescent="0.25">
      <c r="A200" s="36" t="s">
        <v>761</v>
      </c>
      <c r="B200" s="38" t="s">
        <v>762</v>
      </c>
      <c r="C200" s="38"/>
      <c r="D200" s="38" t="s">
        <v>763</v>
      </c>
      <c r="E200" s="34"/>
      <c r="F200" s="38" t="s">
        <v>764</v>
      </c>
      <c r="G200" s="38"/>
      <c r="H200" s="38" t="s">
        <v>765</v>
      </c>
      <c r="I200" s="34"/>
      <c r="J200" s="38" t="s">
        <v>766</v>
      </c>
      <c r="K200" s="38"/>
      <c r="L200" s="38" t="s">
        <v>767</v>
      </c>
      <c r="M200" s="34"/>
      <c r="N200" s="38" t="s">
        <v>768</v>
      </c>
      <c r="O200" s="38"/>
      <c r="P200" s="38" t="s">
        <v>768</v>
      </c>
      <c r="Q200"/>
    </row>
    <row r="201" spans="1:17" s="89" customFormat="1" x14ac:dyDescent="0.25">
      <c r="A201"/>
      <c r="B201"/>
      <c r="C201"/>
      <c r="D201"/>
      <c r="E201"/>
      <c r="F201"/>
      <c r="G201"/>
      <c r="H201"/>
      <c r="I201"/>
      <c r="J201"/>
      <c r="K201"/>
      <c r="L201"/>
      <c r="M201" s="3"/>
      <c r="N201"/>
      <c r="O201"/>
      <c r="P201"/>
      <c r="Q201"/>
    </row>
    <row r="202" spans="1:17" s="89" customFormat="1" x14ac:dyDescent="0.25">
      <c r="A202"/>
      <c r="B202" s="7" t="str">
        <f>LEFT(B198,3)</f>
        <v>320</v>
      </c>
      <c r="C202" s="7" t="str">
        <f>RIGHT(B198,3)</f>
        <v>ksi</v>
      </c>
      <c r="D202" s="7" t="str">
        <f>LEFT(D198,4)</f>
        <v>2.21</v>
      </c>
      <c r="E202" s="7" t="str">
        <f>RIGHT(D198,3)</f>
        <v>Gpa</v>
      </c>
      <c r="F202" s="7" t="str">
        <f>LEFT(F198,3)</f>
        <v>348</v>
      </c>
      <c r="G202" s="7" t="str">
        <f>RIGHT(F198,3)</f>
        <v>ksi</v>
      </c>
      <c r="H202" s="7" t="str">
        <f>LEFT(H198,4)</f>
        <v>2.40</v>
      </c>
      <c r="I202" s="7" t="str">
        <f>RIGHT(H198,3)</f>
        <v>Gpa</v>
      </c>
      <c r="J202" s="7" t="str">
        <f>LEFT(J198,3)</f>
        <v>363</v>
      </c>
      <c r="K202" s="7" t="str">
        <f>RIGHT(J198,3)</f>
        <v>ksi</v>
      </c>
      <c r="L202" s="7" t="str">
        <f>LEFT(L198,3)</f>
        <v>2.5</v>
      </c>
      <c r="M202" s="7" t="str">
        <f>RIGHT(L198,3)</f>
        <v>Gpa</v>
      </c>
      <c r="N202" s="7" t="str">
        <f>LEFT(N198,3)</f>
        <v>250</v>
      </c>
      <c r="O202" s="7" t="str">
        <f>RIGHT(N198,3)</f>
        <v>ksi</v>
      </c>
      <c r="P202" s="7" t="str">
        <f>LEFT(P198,3)</f>
        <v>1.7</v>
      </c>
      <c r="Q202" s="7" t="str">
        <f>RIGHT(P198,3)</f>
        <v>Gpa</v>
      </c>
    </row>
    <row r="203" spans="1:17" s="89" customFormat="1" x14ac:dyDescent="0.25">
      <c r="A203"/>
      <c r="B203" s="7" t="str">
        <f>LEFT(B199,4)</f>
        <v>19.5</v>
      </c>
      <c r="C203" s="7" t="str">
        <f t="shared" ref="C203:E204" si="45">RIGHT(B199,3)</f>
        <v>msi</v>
      </c>
      <c r="D203" s="7" t="str">
        <f>LEFT(D199,3)</f>
        <v>134</v>
      </c>
      <c r="E203" s="7" t="str">
        <f t="shared" si="45"/>
        <v>Gpa</v>
      </c>
      <c r="F203" s="7" t="str">
        <f>LEFT(F199,4)</f>
        <v>34.9</v>
      </c>
      <c r="G203" s="7" t="str">
        <f>RIGHT(F199,3)</f>
        <v>msi</v>
      </c>
      <c r="H203" s="7" t="str">
        <f t="shared" ref="H203:J204" si="46">LEFT(H199,4)</f>
        <v xml:space="preserve">240 </v>
      </c>
      <c r="I203" s="7" t="str">
        <f>RIGHT(H199,3)</f>
        <v>Gpa</v>
      </c>
      <c r="J203" s="7" t="str">
        <f t="shared" si="46"/>
        <v>20.7</v>
      </c>
      <c r="K203" s="7" t="str">
        <f>RIGHT(J199,3)</f>
        <v>msi</v>
      </c>
      <c r="L203" s="7" t="str">
        <f>LEFT(L199,4)</f>
        <v xml:space="preserve">140 </v>
      </c>
      <c r="M203" s="7" t="str">
        <f>RIGHT(L199,3)</f>
        <v>Gpa</v>
      </c>
      <c r="N203" s="7" t="str">
        <f t="shared" ref="N203:P204" si="47">LEFT(N199,4)</f>
        <v>19.5</v>
      </c>
      <c r="O203" s="7" t="str">
        <f>RIGHT(N199,3)</f>
        <v>msi</v>
      </c>
      <c r="P203" s="7" t="str">
        <f t="shared" si="47"/>
        <v xml:space="preserve">134 </v>
      </c>
      <c r="Q203" s="7" t="str">
        <f>RIGHT(P199,3)</f>
        <v>Gpa</v>
      </c>
    </row>
    <row r="204" spans="1:17" s="89" customFormat="1" x14ac:dyDescent="0.25">
      <c r="A204"/>
      <c r="B204" s="7" t="str">
        <f>LEFT(B200,3)</f>
        <v>256</v>
      </c>
      <c r="C204" s="7" t="str">
        <f t="shared" si="45"/>
        <v>ksi</v>
      </c>
      <c r="D204" s="7" t="str">
        <f>LEFT(D200,3)</f>
        <v>1.7</v>
      </c>
      <c r="E204" s="7" t="str">
        <f t="shared" si="45"/>
        <v>Gpa</v>
      </c>
      <c r="F204" s="7" t="str">
        <f>LEFT(F200,3)</f>
        <v>145</v>
      </c>
      <c r="G204" s="7" t="str">
        <f>RIGHT(F200,3)</f>
        <v>ksi</v>
      </c>
      <c r="H204" s="7" t="str">
        <f t="shared" si="46"/>
        <v>1.00</v>
      </c>
      <c r="I204" s="7" t="str">
        <f>RIGHT(H200,3)</f>
        <v>Gpa</v>
      </c>
      <c r="J204" s="7" t="str">
        <f t="shared" si="46"/>
        <v xml:space="preserve">232 </v>
      </c>
      <c r="K204" s="7" t="str">
        <f>RIGHT(J200,3)</f>
        <v>ksi</v>
      </c>
      <c r="L204" s="7" t="str">
        <f>LEFT(L200,4)</f>
        <v>1.60</v>
      </c>
      <c r="M204" s="7" t="str">
        <f>RIGHT(L200,3)</f>
        <v>Gpa</v>
      </c>
      <c r="N204" s="7" t="str">
        <f t="shared" si="47"/>
        <v>NA</v>
      </c>
      <c r="O204" s="7" t="str">
        <f>RIGHT(N200,3)</f>
        <v>NA</v>
      </c>
      <c r="P204" s="7" t="str">
        <f t="shared" si="47"/>
        <v>NA</v>
      </c>
      <c r="Q204" s="7" t="str">
        <f>RIGHT(P200,3)</f>
        <v>NA</v>
      </c>
    </row>
    <row r="205" spans="1:17" s="89" customFormat="1" x14ac:dyDescent="0.25"/>
    <row r="206" spans="1:17" s="89" customFormat="1" x14ac:dyDescent="0.25"/>
    <row r="207" spans="1:17" s="89" customFormat="1" x14ac:dyDescent="0.25"/>
    <row r="208" spans="1:17" s="89" customFormat="1" x14ac:dyDescent="0.25"/>
    <row r="209" spans="1:31" s="89" customFormat="1" x14ac:dyDescent="0.25"/>
    <row r="210" spans="1:31" s="89" customFormat="1" x14ac:dyDescent="0.25"/>
    <row r="211" spans="1:31" s="89" customFormat="1" x14ac:dyDescent="0.25"/>
    <row r="212" spans="1:31" s="89" customFormat="1" x14ac:dyDescent="0.25"/>
    <row r="213" spans="1:31" s="89" customFormat="1" x14ac:dyDescent="0.25"/>
    <row r="214" spans="1:31" s="89" customFormat="1" x14ac:dyDescent="0.25"/>
    <row r="215" spans="1:31" s="89" customFormat="1" x14ac:dyDescent="0.25"/>
    <row r="216" spans="1:31" s="89" customFormat="1" x14ac:dyDescent="0.25"/>
    <row r="217" spans="1:31" s="195" customFormat="1" ht="15.75" thickBot="1" x14ac:dyDescent="0.3"/>
    <row r="218" spans="1:31" s="89" customFormat="1" x14ac:dyDescent="0.25">
      <c r="A218" s="194"/>
      <c r="K218" s="531" t="s">
        <v>1942</v>
      </c>
      <c r="L218" s="531"/>
      <c r="M218" s="531"/>
      <c r="N218" s="531" t="s">
        <v>2077</v>
      </c>
      <c r="O218" s="531"/>
      <c r="P218" s="531"/>
    </row>
    <row r="219" spans="1:31" s="89" customFormat="1" x14ac:dyDescent="0.25">
      <c r="A219" s="194" t="s">
        <v>771</v>
      </c>
      <c r="B219" s="89" t="s">
        <v>2030</v>
      </c>
      <c r="E219" s="89" t="s">
        <v>2031</v>
      </c>
      <c r="J219" s="89" t="s">
        <v>2034</v>
      </c>
      <c r="K219" s="197" t="s">
        <v>2035</v>
      </c>
      <c r="L219" s="197" t="s">
        <v>2036</v>
      </c>
      <c r="M219" s="197" t="s">
        <v>2037</v>
      </c>
      <c r="N219" s="197" t="s">
        <v>1837</v>
      </c>
      <c r="O219" s="197" t="s">
        <v>1838</v>
      </c>
      <c r="P219" s="197" t="s">
        <v>1864</v>
      </c>
      <c r="S219" s="196" t="s">
        <v>2066</v>
      </c>
      <c r="T219" s="196" t="s">
        <v>2035</v>
      </c>
      <c r="U219" s="196" t="s">
        <v>2036</v>
      </c>
      <c r="V219" s="196" t="s">
        <v>2037</v>
      </c>
      <c r="X219" s="196" t="s">
        <v>2090</v>
      </c>
    </row>
    <row r="220" spans="1:31" s="89" customFormat="1" x14ac:dyDescent="0.25">
      <c r="A220" s="194" t="s">
        <v>2022</v>
      </c>
      <c r="B220" s="194"/>
      <c r="C220" s="194" t="s">
        <v>723</v>
      </c>
      <c r="E220" s="194" t="s">
        <v>2022</v>
      </c>
      <c r="F220" s="194"/>
      <c r="G220" s="194" t="s">
        <v>723</v>
      </c>
      <c r="J220" s="89" t="s">
        <v>1924</v>
      </c>
      <c r="K220" s="89">
        <f>T220</f>
        <v>0</v>
      </c>
      <c r="L220" s="89">
        <f t="shared" ref="L220" si="48">U220</f>
        <v>2.3779031319999993</v>
      </c>
      <c r="M220" s="89">
        <f>V220</f>
        <v>0.45464511454336909</v>
      </c>
      <c r="N220" s="89">
        <v>0</v>
      </c>
      <c r="O220" s="89">
        <v>0</v>
      </c>
      <c r="P220" s="89">
        <f>-H648</f>
        <v>-4.2095632813437938</v>
      </c>
      <c r="S220" s="89" t="s">
        <v>2070</v>
      </c>
      <c r="T220" s="89">
        <f>AA$222*$X220</f>
        <v>0</v>
      </c>
      <c r="U220" s="89">
        <f t="shared" ref="U220" si="49">AB$222*$X220</f>
        <v>2.3779031319999993</v>
      </c>
      <c r="V220" s="89">
        <f t="shared" ref="V220" si="50">AC$222*$X220</f>
        <v>0.45464511454336909</v>
      </c>
      <c r="W220" s="89" t="s">
        <v>1942</v>
      </c>
      <c r="X220" s="89">
        <v>2.5</v>
      </c>
      <c r="Z220" s="196" t="s">
        <v>2066</v>
      </c>
      <c r="AA220" s="196" t="s">
        <v>2035</v>
      </c>
      <c r="AB220" s="196" t="s">
        <v>2036</v>
      </c>
      <c r="AC220" s="196" t="s">
        <v>2037</v>
      </c>
      <c r="AE220" s="196" t="s">
        <v>2090</v>
      </c>
    </row>
    <row r="221" spans="1:31" s="89" customFormat="1" x14ac:dyDescent="0.25">
      <c r="A221" s="141" t="s">
        <v>2018</v>
      </c>
      <c r="B221" s="141"/>
      <c r="C221" s="141" t="s">
        <v>2021</v>
      </c>
      <c r="E221" s="141" t="s">
        <v>2018</v>
      </c>
      <c r="F221" s="141"/>
      <c r="G221" s="141" t="s">
        <v>2021</v>
      </c>
      <c r="J221" s="89" t="s">
        <v>1926</v>
      </c>
      <c r="S221" s="89" t="s">
        <v>2088</v>
      </c>
      <c r="T221" s="89">
        <f>AA$222*$X221</f>
        <v>0</v>
      </c>
      <c r="U221" s="89">
        <f t="shared" ref="U221:V222" si="51">AB$222*$X221</f>
        <v>4.7558062639999985</v>
      </c>
      <c r="V221" s="89">
        <f t="shared" si="51"/>
        <v>0.90929022908673818</v>
      </c>
      <c r="W221" s="89" t="s">
        <v>1942</v>
      </c>
      <c r="X221" s="89">
        <v>5</v>
      </c>
      <c r="Z221" s="89" t="s">
        <v>2070</v>
      </c>
      <c r="AA221" s="89">
        <v>0</v>
      </c>
      <c r="AB221" s="89">
        <f>(H64/2)*V6</f>
        <v>2.3779031319999993</v>
      </c>
      <c r="AC221" s="89">
        <f>H60*0.1*V6</f>
        <v>0.45464511454336909</v>
      </c>
      <c r="AD221" s="89" t="s">
        <v>1942</v>
      </c>
      <c r="AE221" s="89">
        <v>2.5</v>
      </c>
    </row>
    <row r="222" spans="1:31" s="89" customFormat="1" x14ac:dyDescent="0.25">
      <c r="A222" s="141" t="s">
        <v>2019</v>
      </c>
      <c r="B222" s="141"/>
      <c r="C222" s="141" t="s">
        <v>2021</v>
      </c>
      <c r="E222" s="141" t="s">
        <v>2019</v>
      </c>
      <c r="F222" s="141"/>
      <c r="G222" s="141" t="s">
        <v>2021</v>
      </c>
      <c r="J222" s="19" t="s">
        <v>1922</v>
      </c>
      <c r="S222" s="89" t="s">
        <v>2089</v>
      </c>
      <c r="T222" s="89">
        <f>AA$222*$X222</f>
        <v>0</v>
      </c>
      <c r="U222" s="89">
        <f t="shared" si="51"/>
        <v>0.95116125279999975</v>
      </c>
      <c r="V222" s="89">
        <f t="shared" si="51"/>
        <v>0.18185804581734763</v>
      </c>
      <c r="W222" s="89" t="s">
        <v>1942</v>
      </c>
      <c r="X222" s="89">
        <v>1</v>
      </c>
      <c r="Z222" s="89" t="s">
        <v>2091</v>
      </c>
      <c r="AA222" s="89">
        <f>AA221/$AE221</f>
        <v>0</v>
      </c>
      <c r="AB222" s="89">
        <f t="shared" ref="AB222:AC222" si="52">AB221/$AE221</f>
        <v>0.95116125279999975</v>
      </c>
      <c r="AC222" s="89">
        <f t="shared" si="52"/>
        <v>0.18185804581734763</v>
      </c>
      <c r="AD222" s="89" t="s">
        <v>1942</v>
      </c>
      <c r="AE222" s="89" t="s">
        <v>2091</v>
      </c>
    </row>
    <row r="223" spans="1:31" s="89" customFormat="1" x14ac:dyDescent="0.25">
      <c r="A223" s="141" t="s">
        <v>2020</v>
      </c>
      <c r="B223" s="141"/>
      <c r="C223" s="141" t="s">
        <v>2021</v>
      </c>
      <c r="E223" s="141" t="s">
        <v>2020</v>
      </c>
      <c r="F223" s="141"/>
      <c r="G223" s="141" t="s">
        <v>2021</v>
      </c>
      <c r="S223" s="89" t="s">
        <v>2070</v>
      </c>
      <c r="T223" s="89">
        <f>AA$222*$X223</f>
        <v>0</v>
      </c>
      <c r="U223" s="89">
        <f t="shared" ref="U223" si="53">AB$222*$X223</f>
        <v>2.3779031319999993</v>
      </c>
      <c r="V223" s="89">
        <f t="shared" ref="V223" si="54">AC$222*$X223</f>
        <v>0.45464511454336909</v>
      </c>
      <c r="W223" s="89" t="s">
        <v>1942</v>
      </c>
      <c r="X223" s="89">
        <v>2.5</v>
      </c>
    </row>
    <row r="224" spans="1:31" s="89" customFormat="1" x14ac:dyDescent="0.25"/>
    <row r="225" spans="1:16" s="89" customFormat="1" x14ac:dyDescent="0.25"/>
    <row r="226" spans="1:16" s="89" customFormat="1" x14ac:dyDescent="0.25">
      <c r="A226" s="196" t="s">
        <v>2023</v>
      </c>
    </row>
    <row r="227" spans="1:16" s="89" customFormat="1" x14ac:dyDescent="0.25">
      <c r="A227" s="19" t="s">
        <v>2024</v>
      </c>
      <c r="B227" s="89">
        <v>1</v>
      </c>
      <c r="C227" s="89" t="s">
        <v>1923</v>
      </c>
      <c r="D227" s="89">
        <f>B227/12</f>
        <v>8.3333333333333329E-2</v>
      </c>
      <c r="E227" s="73" t="s">
        <v>2001</v>
      </c>
    </row>
    <row r="228" spans="1:16" s="89" customFormat="1" x14ac:dyDescent="0.25">
      <c r="A228" s="19"/>
    </row>
    <row r="229" spans="1:16" s="89" customFormat="1" x14ac:dyDescent="0.25">
      <c r="A229" s="19"/>
    </row>
    <row r="230" spans="1:16" s="89" customFormat="1" x14ac:dyDescent="0.25">
      <c r="A230" s="19"/>
    </row>
    <row r="231" spans="1:16" s="89" customFormat="1" x14ac:dyDescent="0.25">
      <c r="A231" s="19"/>
    </row>
    <row r="232" spans="1:16" s="89" customFormat="1" x14ac:dyDescent="0.25">
      <c r="A232" s="19"/>
    </row>
    <row r="233" spans="1:16" s="89" customFormat="1" x14ac:dyDescent="0.25">
      <c r="J233" s="19"/>
      <c r="K233" s="19"/>
      <c r="L233" s="19"/>
      <c r="M233" s="19"/>
      <c r="N233" s="19"/>
      <c r="O233" s="19"/>
      <c r="P233" s="19"/>
    </row>
    <row r="234" spans="1:16" s="89" customFormat="1" x14ac:dyDescent="0.25">
      <c r="A234" s="19" t="s">
        <v>2025</v>
      </c>
      <c r="B234" s="73">
        <v>1.74776234998153</v>
      </c>
      <c r="C234" s="73" t="s">
        <v>1923</v>
      </c>
      <c r="D234" s="73">
        <f>B234/12</f>
        <v>0.14564686249846084</v>
      </c>
      <c r="E234" s="73" t="s">
        <v>2001</v>
      </c>
      <c r="J234" s="19"/>
      <c r="K234" s="532"/>
      <c r="L234" s="532"/>
      <c r="M234" s="532"/>
      <c r="N234" s="532"/>
      <c r="O234" s="532"/>
      <c r="P234" s="532"/>
    </row>
    <row r="235" spans="1:16" s="89" customFormat="1" x14ac:dyDescent="0.25">
      <c r="A235" s="19"/>
      <c r="J235" s="19"/>
      <c r="K235" s="196"/>
      <c r="L235" s="196"/>
      <c r="M235" s="196"/>
      <c r="N235" s="196"/>
      <c r="O235" s="196"/>
      <c r="P235" s="196"/>
    </row>
    <row r="236" spans="1:16" s="89" customFormat="1" x14ac:dyDescent="0.25">
      <c r="A236" s="19"/>
      <c r="J236" s="19"/>
      <c r="K236" s="19"/>
      <c r="L236" s="19"/>
      <c r="M236" s="19"/>
      <c r="N236" s="19"/>
      <c r="O236" s="19"/>
      <c r="P236" s="19"/>
    </row>
    <row r="237" spans="1:16" s="89" customFormat="1" x14ac:dyDescent="0.25">
      <c r="A237" s="19"/>
    </row>
    <row r="238" spans="1:16" s="89" customFormat="1" x14ac:dyDescent="0.25">
      <c r="A238" s="19"/>
    </row>
    <row r="239" spans="1:16" s="89" customFormat="1" x14ac:dyDescent="0.25">
      <c r="A239" s="19"/>
    </row>
    <row r="240" spans="1:16" s="89" customFormat="1" x14ac:dyDescent="0.25">
      <c r="A240" s="19"/>
    </row>
    <row r="241" spans="1:8" s="89" customFormat="1" x14ac:dyDescent="0.25"/>
    <row r="242" spans="1:8" s="89" customFormat="1" x14ac:dyDescent="0.25"/>
    <row r="243" spans="1:8" s="89" customFormat="1" x14ac:dyDescent="0.25">
      <c r="A243" s="19" t="s">
        <v>2026</v>
      </c>
      <c r="B243" s="73">
        <v>0.14397657096062091</v>
      </c>
      <c r="C243" s="73" t="s">
        <v>1923</v>
      </c>
      <c r="D243">
        <f>B243/12</f>
        <v>1.1998047580051742E-2</v>
      </c>
      <c r="E243" s="73" t="s">
        <v>2001</v>
      </c>
    </row>
    <row r="244" spans="1:8" s="89" customFormat="1" x14ac:dyDescent="0.25">
      <c r="A244" s="19"/>
    </row>
    <row r="245" spans="1:8" s="89" customFormat="1" x14ac:dyDescent="0.25">
      <c r="A245" s="19"/>
    </row>
    <row r="246" spans="1:8" s="89" customFormat="1" x14ac:dyDescent="0.25">
      <c r="A246" s="19"/>
    </row>
    <row r="247" spans="1:8" s="89" customFormat="1" x14ac:dyDescent="0.25">
      <c r="A247" s="19"/>
    </row>
    <row r="248" spans="1:8" s="89" customFormat="1" x14ac:dyDescent="0.25">
      <c r="A248" s="19"/>
    </row>
    <row r="249" spans="1:8" s="89" customFormat="1" x14ac:dyDescent="0.25">
      <c r="A249" s="19"/>
    </row>
    <row r="250" spans="1:8" s="89" customFormat="1" x14ac:dyDescent="0.25"/>
    <row r="251" spans="1:8" s="89" customFormat="1" x14ac:dyDescent="0.25"/>
    <row r="252" spans="1:8" s="89" customFormat="1" x14ac:dyDescent="0.25">
      <c r="A252" s="89" t="s">
        <v>2027</v>
      </c>
      <c r="B252" s="73">
        <v>-0.30898652681462635</v>
      </c>
      <c r="C252" s="73" t="s">
        <v>2002</v>
      </c>
      <c r="D252" s="73">
        <v>-2.5748877234552197E-2</v>
      </c>
      <c r="E252" s="73" t="s">
        <v>2003</v>
      </c>
      <c r="F252" t="s">
        <v>1921</v>
      </c>
      <c r="G252" s="73">
        <f>(B330-B332)*D234+D252+D243*(B333-B331)</f>
        <v>0.19798504229683236</v>
      </c>
      <c r="H252" s="73" t="s">
        <v>1920</v>
      </c>
    </row>
    <row r="253" spans="1:8" s="89" customFormat="1" x14ac:dyDescent="0.25"/>
    <row r="254" spans="1:8" s="89" customFormat="1" x14ac:dyDescent="0.25"/>
    <row r="255" spans="1:8" s="89" customFormat="1" x14ac:dyDescent="0.25"/>
    <row r="256" spans="1:8" s="89" customFormat="1" x14ac:dyDescent="0.25"/>
    <row r="257" spans="1:1" s="89" customFormat="1" x14ac:dyDescent="0.25"/>
    <row r="258" spans="1:1" s="89" customFormat="1" x14ac:dyDescent="0.25"/>
    <row r="259" spans="1:1" s="89" customFormat="1" x14ac:dyDescent="0.25"/>
    <row r="260" spans="1:1" s="89" customFormat="1" x14ac:dyDescent="0.25"/>
    <row r="261" spans="1:1" s="89" customFormat="1" x14ac:dyDescent="0.25">
      <c r="A261" s="89" t="s">
        <v>2028</v>
      </c>
    </row>
    <row r="262" spans="1:1" s="89" customFormat="1" ht="13.5" customHeight="1" x14ac:dyDescent="0.25"/>
    <row r="263" spans="1:1" s="89" customFormat="1" ht="13.5" customHeight="1" x14ac:dyDescent="0.25"/>
    <row r="264" spans="1:1" s="89" customFormat="1" ht="13.5" customHeight="1" x14ac:dyDescent="0.25"/>
    <row r="265" spans="1:1" s="89" customFormat="1" ht="13.5" customHeight="1" x14ac:dyDescent="0.25"/>
    <row r="266" spans="1:1" s="89" customFormat="1" ht="13.5" customHeight="1" x14ac:dyDescent="0.25"/>
    <row r="267" spans="1:1" s="89" customFormat="1" ht="13.5" customHeight="1" x14ac:dyDescent="0.25"/>
    <row r="268" spans="1:1" s="89" customFormat="1" ht="13.5" customHeight="1" x14ac:dyDescent="0.25"/>
    <row r="269" spans="1:1" s="89" customFormat="1" ht="13.5" customHeight="1" x14ac:dyDescent="0.25"/>
    <row r="270" spans="1:1" s="89" customFormat="1" ht="13.5" customHeight="1" x14ac:dyDescent="0.25"/>
    <row r="271" spans="1:1" s="89" customFormat="1" x14ac:dyDescent="0.25"/>
    <row r="272" spans="1:1" s="89" customFormat="1" x14ac:dyDescent="0.25">
      <c r="A272" s="89" t="s">
        <v>2029</v>
      </c>
    </row>
    <row r="273" spans="1:2" s="89" customFormat="1" x14ac:dyDescent="0.25"/>
    <row r="274" spans="1:2" s="89" customFormat="1" x14ac:dyDescent="0.25"/>
    <row r="275" spans="1:2" s="89" customFormat="1" x14ac:dyDescent="0.25"/>
    <row r="276" spans="1:2" s="89" customFormat="1" x14ac:dyDescent="0.25"/>
    <row r="277" spans="1:2" s="89" customFormat="1" x14ac:dyDescent="0.25"/>
    <row r="278" spans="1:2" s="89" customFormat="1" x14ac:dyDescent="0.25"/>
    <row r="279" spans="1:2" s="89" customFormat="1" x14ac:dyDescent="0.25"/>
    <row r="280" spans="1:2" s="89" customFormat="1" x14ac:dyDescent="0.25"/>
    <row r="281" spans="1:2" s="89" customFormat="1" x14ac:dyDescent="0.25">
      <c r="A281" s="194" t="s">
        <v>2032</v>
      </c>
    </row>
    <row r="282" spans="1:2" s="89" customFormat="1" x14ac:dyDescent="0.25">
      <c r="A282" s="194"/>
    </row>
    <row r="283" spans="1:2" s="89" customFormat="1" x14ac:dyDescent="0.25">
      <c r="A283" s="167" t="s">
        <v>2033</v>
      </c>
      <c r="B283" s="73">
        <v>0</v>
      </c>
    </row>
    <row r="284" spans="1:2" s="89" customFormat="1" x14ac:dyDescent="0.25">
      <c r="A284" s="194"/>
    </row>
    <row r="285" spans="1:2" s="89" customFormat="1" x14ac:dyDescent="0.25">
      <c r="A285" s="194"/>
    </row>
    <row r="286" spans="1:2" s="89" customFormat="1" x14ac:dyDescent="0.25">
      <c r="A286" s="194"/>
    </row>
    <row r="287" spans="1:2" s="89" customFormat="1" x14ac:dyDescent="0.25">
      <c r="A287" s="194"/>
    </row>
    <row r="288" spans="1:2" s="89" customFormat="1" x14ac:dyDescent="0.25">
      <c r="A288" s="194"/>
    </row>
    <row r="289" spans="1:4" s="89" customFormat="1" x14ac:dyDescent="0.25">
      <c r="A289" s="194"/>
    </row>
    <row r="290" spans="1:4" s="89" customFormat="1" x14ac:dyDescent="0.25">
      <c r="A290" s="194"/>
    </row>
    <row r="291" spans="1:4" s="89" customFormat="1" x14ac:dyDescent="0.25">
      <c r="A291" s="194"/>
    </row>
    <row r="292" spans="1:4" s="89" customFormat="1" x14ac:dyDescent="0.25">
      <c r="A292" s="167" t="s">
        <v>2073</v>
      </c>
      <c r="B292" s="73">
        <f>L220</f>
        <v>2.3779031319999993</v>
      </c>
      <c r="C292" s="89" t="s">
        <v>1942</v>
      </c>
    </row>
    <row r="293" spans="1:4" s="89" customFormat="1" x14ac:dyDescent="0.25">
      <c r="A293" s="194"/>
    </row>
    <row r="294" spans="1:4" s="89" customFormat="1" x14ac:dyDescent="0.25">
      <c r="A294" s="194"/>
    </row>
    <row r="295" spans="1:4" s="89" customFormat="1" x14ac:dyDescent="0.25">
      <c r="A295" s="194"/>
    </row>
    <row r="296" spans="1:4" s="89" customFormat="1" x14ac:dyDescent="0.25">
      <c r="A296" s="194"/>
    </row>
    <row r="297" spans="1:4" s="89" customFormat="1" x14ac:dyDescent="0.25">
      <c r="A297" s="194"/>
    </row>
    <row r="298" spans="1:4" s="89" customFormat="1" x14ac:dyDescent="0.25"/>
    <row r="299" spans="1:4" s="89" customFormat="1" x14ac:dyDescent="0.25">
      <c r="A299" s="89" t="s">
        <v>2072</v>
      </c>
      <c r="B299" s="73">
        <f>M220</f>
        <v>0.45464511454336909</v>
      </c>
      <c r="D299" s="73"/>
    </row>
    <row r="300" spans="1:4" s="89" customFormat="1" x14ac:dyDescent="0.25"/>
    <row r="301" spans="1:4" s="89" customFormat="1" x14ac:dyDescent="0.25"/>
    <row r="302" spans="1:4" s="89" customFormat="1" x14ac:dyDescent="0.25"/>
    <row r="303" spans="1:4" s="89" customFormat="1" x14ac:dyDescent="0.25"/>
    <row r="304" spans="1:4" s="89" customFormat="1" x14ac:dyDescent="0.25"/>
    <row r="305" spans="1:4" s="89" customFormat="1" x14ac:dyDescent="0.25">
      <c r="A305" s="89" t="s">
        <v>2071</v>
      </c>
      <c r="B305" s="73">
        <f>-G252</f>
        <v>-0.19798504229683236</v>
      </c>
      <c r="C305" s="89" t="s">
        <v>1837</v>
      </c>
      <c r="D305" s="73"/>
    </row>
    <row r="306" spans="1:4" s="89" customFormat="1" x14ac:dyDescent="0.25"/>
    <row r="307" spans="1:4" s="89" customFormat="1" x14ac:dyDescent="0.25"/>
    <row r="308" spans="1:4" s="89" customFormat="1" x14ac:dyDescent="0.25"/>
    <row r="309" spans="1:4" s="89" customFormat="1" x14ac:dyDescent="0.25"/>
    <row r="310" spans="1:4" s="89" customFormat="1" x14ac:dyDescent="0.25"/>
    <row r="311" spans="1:4" s="89" customFormat="1" x14ac:dyDescent="0.25"/>
    <row r="312" spans="1:4" s="89" customFormat="1" x14ac:dyDescent="0.25">
      <c r="A312" s="89" t="s">
        <v>2074</v>
      </c>
      <c r="B312" s="73">
        <f>-1*-1*B299</f>
        <v>0.45464511454336909</v>
      </c>
      <c r="C312" s="89" t="s">
        <v>1837</v>
      </c>
      <c r="D312" s="73"/>
    </row>
    <row r="313" spans="1:4" s="89" customFormat="1" x14ac:dyDescent="0.25"/>
    <row r="314" spans="1:4" s="89" customFormat="1" x14ac:dyDescent="0.25"/>
    <row r="315" spans="1:4" s="89" customFormat="1" x14ac:dyDescent="0.25"/>
    <row r="316" spans="1:4" s="89" customFormat="1" x14ac:dyDescent="0.25"/>
    <row r="317" spans="1:4" s="89" customFormat="1" x14ac:dyDescent="0.25"/>
    <row r="318" spans="1:4" s="89" customFormat="1" x14ac:dyDescent="0.25"/>
    <row r="319" spans="1:4" s="89" customFormat="1" x14ac:dyDescent="0.25">
      <c r="A319" s="89" t="s">
        <v>2075</v>
      </c>
      <c r="B319" s="73">
        <f>-B292</f>
        <v>-2.3779031319999993</v>
      </c>
      <c r="C319" s="89" t="s">
        <v>1837</v>
      </c>
    </row>
    <row r="320" spans="1:4" s="89" customFormat="1" x14ac:dyDescent="0.25"/>
    <row r="321" spans="1:21" s="89" customFormat="1" x14ac:dyDescent="0.25"/>
    <row r="322" spans="1:21" s="89" customFormat="1" x14ac:dyDescent="0.25"/>
    <row r="323" spans="1:21" s="89" customFormat="1" x14ac:dyDescent="0.25"/>
    <row r="324" spans="1:21" s="89" customFormat="1" x14ac:dyDescent="0.25"/>
    <row r="325" spans="1:21" s="89" customFormat="1" x14ac:dyDescent="0.25"/>
    <row r="326" spans="1:21" s="89" customFormat="1" ht="15.75" thickBot="1" x14ac:dyDescent="0.3"/>
    <row r="327" spans="1:21" s="193" customFormat="1" ht="14.25" customHeight="1" x14ac:dyDescent="0.25"/>
    <row r="328" spans="1:21" s="89" customFormat="1" x14ac:dyDescent="0.25">
      <c r="A328" s="238" t="s">
        <v>2084</v>
      </c>
      <c r="B328" s="19"/>
      <c r="C328" s="19"/>
      <c r="D328" s="139"/>
      <c r="E328" s="139"/>
      <c r="M328" s="139"/>
      <c r="N328" s="139"/>
      <c r="O328" s="139"/>
      <c r="P328" s="139"/>
      <c r="Q328" s="139"/>
      <c r="R328" s="138"/>
      <c r="S328" s="137"/>
      <c r="T328" s="137"/>
      <c r="U328" s="137"/>
    </row>
    <row r="329" spans="1:21" s="89" customFormat="1" x14ac:dyDescent="0.25">
      <c r="A329" s="140"/>
      <c r="B329" s="19"/>
      <c r="C329" s="19"/>
      <c r="D329" s="139"/>
      <c r="E329" s="139"/>
      <c r="M329" s="139"/>
      <c r="N329" s="139"/>
      <c r="O329" s="139"/>
      <c r="P329" s="139"/>
      <c r="Q329" s="139"/>
      <c r="R329" s="138"/>
      <c r="S329" s="137"/>
      <c r="T329" s="137"/>
      <c r="U329" s="137"/>
    </row>
    <row r="330" spans="1:21" s="89" customFormat="1" x14ac:dyDescent="0.25">
      <c r="A330" s="73" t="s">
        <v>1933</v>
      </c>
      <c r="B330" s="19">
        <f>H648</f>
        <v>4.2095632813437938</v>
      </c>
      <c r="C330" s="19"/>
      <c r="D330" s="139"/>
      <c r="E330" s="139"/>
      <c r="L330" s="73"/>
      <c r="M330" s="139"/>
      <c r="O330" s="73" t="s">
        <v>1862</v>
      </c>
      <c r="P330" s="139">
        <f>W645</f>
        <v>1028.3092196638152</v>
      </c>
      <c r="Q330" s="139" t="s">
        <v>2076</v>
      </c>
      <c r="R330" s="138"/>
      <c r="S330" s="137"/>
      <c r="T330" s="137"/>
      <c r="U330" s="137"/>
    </row>
    <row r="331" spans="1:21" s="89" customFormat="1" x14ac:dyDescent="0.25">
      <c r="A331" s="73" t="s">
        <v>1932</v>
      </c>
      <c r="B331" s="19">
        <f>H650</f>
        <v>0.39609572179891905</v>
      </c>
      <c r="C331" s="19"/>
      <c r="D331" s="139"/>
      <c r="E331" s="139"/>
      <c r="L331" s="73"/>
      <c r="M331" s="139"/>
      <c r="O331" s="73" t="s">
        <v>1861</v>
      </c>
      <c r="P331" s="139">
        <f>V645</f>
        <v>3.7921230461294892</v>
      </c>
      <c r="Q331" s="139" t="s">
        <v>2076</v>
      </c>
      <c r="R331" s="138"/>
      <c r="S331" s="137"/>
      <c r="T331" s="137"/>
      <c r="U331" s="137"/>
    </row>
    <row r="332" spans="1:21" s="89" customFormat="1" x14ac:dyDescent="0.25">
      <c r="A332" s="136" t="s">
        <v>1931</v>
      </c>
      <c r="B332" s="136">
        <f>C111*0.25</f>
        <v>2.6728947944006989</v>
      </c>
      <c r="C332" s="73"/>
      <c r="D332" s="73"/>
      <c r="E332" s="73"/>
      <c r="F332" s="73"/>
      <c r="G332" s="73"/>
      <c r="H332" s="73"/>
      <c r="I332" s="73"/>
      <c r="J332"/>
      <c r="K332" s="73"/>
      <c r="L332" s="73"/>
      <c r="M332" s="139"/>
      <c r="O332" s="73" t="s">
        <v>1859</v>
      </c>
      <c r="P332" s="139">
        <f>X645</f>
        <v>-0.71610141675027228</v>
      </c>
      <c r="Q332" s="139" t="s">
        <v>2076</v>
      </c>
      <c r="R332" s="138"/>
      <c r="S332" s="137"/>
      <c r="T332" s="137"/>
      <c r="U332" s="137"/>
    </row>
    <row r="333" spans="1:21" s="89" customFormat="1" x14ac:dyDescent="0.25">
      <c r="A333" s="73" t="s">
        <v>1930</v>
      </c>
      <c r="B333" s="73">
        <f>0.036447*C111</f>
        <v>0.38967598628608907</v>
      </c>
      <c r="C333" s="73"/>
      <c r="D333" s="73"/>
      <c r="E333" s="73"/>
      <c r="F333" s="73"/>
      <c r="G333" s="73"/>
      <c r="H333" s="73"/>
      <c r="I333" s="73"/>
      <c r="J333" s="73"/>
      <c r="K333" s="73"/>
      <c r="M333" s="139"/>
      <c r="N333" s="139"/>
      <c r="O333" s="139" t="s">
        <v>1929</v>
      </c>
      <c r="P333" s="139">
        <f>(P330*P331-(P332^2))</f>
        <v>3898.9622891955128</v>
      </c>
      <c r="Q333" s="139" t="s">
        <v>2076</v>
      </c>
      <c r="R333" s="138"/>
      <c r="S333" s="137"/>
      <c r="T333" s="137"/>
      <c r="U333" s="137"/>
    </row>
    <row r="334" spans="1:21" s="89" customFormat="1" x14ac:dyDescent="0.25">
      <c r="A334" s="73"/>
      <c r="B334" s="73"/>
      <c r="C334" s="73"/>
      <c r="D334" s="73"/>
      <c r="E334" s="73"/>
      <c r="F334" s="73"/>
      <c r="G334" s="73"/>
      <c r="H334" s="73"/>
      <c r="I334" s="73"/>
      <c r="J334" s="73"/>
      <c r="K334" s="73"/>
      <c r="M334" s="139"/>
      <c r="N334"/>
      <c r="O334" s="136" t="s">
        <v>1928</v>
      </c>
      <c r="P334">
        <f>D569*(P330*P331-(P332^2))</f>
        <v>10764153.714991452</v>
      </c>
      <c r="Q334" t="s">
        <v>1927</v>
      </c>
      <c r="R334"/>
      <c r="S334" s="135"/>
      <c r="T334" s="137"/>
      <c r="U334" s="137"/>
    </row>
    <row r="335" spans="1:21" s="89" customFormat="1" x14ac:dyDescent="0.25">
      <c r="A335" s="73"/>
      <c r="C335" s="73"/>
      <c r="D335" s="73"/>
      <c r="E335" s="73"/>
      <c r="F335" s="73"/>
      <c r="G335" s="73"/>
      <c r="H335" s="73"/>
      <c r="I335" s="73"/>
      <c r="J335" s="73"/>
      <c r="K335" s="73"/>
      <c r="M335" s="139"/>
      <c r="N335" t="s">
        <v>1926</v>
      </c>
      <c r="O335" s="136" t="s">
        <v>2082</v>
      </c>
      <c r="P335">
        <f>P332/P334</f>
        <v>-6.6526494856065046E-8</v>
      </c>
      <c r="Q335"/>
      <c r="R335" s="136"/>
      <c r="S335" s="135"/>
      <c r="T335" s="137"/>
      <c r="U335" s="137"/>
    </row>
    <row r="336" spans="1:21" s="89" customFormat="1" x14ac:dyDescent="0.25">
      <c r="C336" s="73"/>
      <c r="I336" s="73"/>
      <c r="J336" s="73"/>
      <c r="K336" s="73"/>
      <c r="M336" s="139"/>
      <c r="N336" t="s">
        <v>1924</v>
      </c>
      <c r="O336" s="136" t="s">
        <v>2083</v>
      </c>
      <c r="P336">
        <f>P330/P334</f>
        <v>9.5530893267686086E-5</v>
      </c>
      <c r="Q336"/>
      <c r="R336"/>
      <c r="S336" s="135"/>
      <c r="T336" s="137"/>
      <c r="U336" s="137"/>
    </row>
    <row r="337" spans="1:21" s="89" customFormat="1" x14ac:dyDescent="0.25">
      <c r="C337" s="73"/>
      <c r="D337" s="73"/>
      <c r="I337" s="73"/>
      <c r="J337" s="73"/>
      <c r="K337" s="73"/>
      <c r="M337" s="139"/>
      <c r="N337"/>
      <c r="O337" s="136"/>
      <c r="P337"/>
      <c r="Q337"/>
      <c r="R337"/>
      <c r="S337" s="135"/>
      <c r="T337" s="137"/>
      <c r="U337" s="137"/>
    </row>
    <row r="338" spans="1:21" s="89" customFormat="1" x14ac:dyDescent="0.25">
      <c r="C338" s="73"/>
      <c r="D338" s="73"/>
      <c r="M338" s="139"/>
      <c r="N338" s="73"/>
      <c r="O338" s="136"/>
      <c r="P338"/>
      <c r="Q338"/>
      <c r="R338"/>
      <c r="S338" s="135"/>
      <c r="T338" s="137"/>
      <c r="U338" s="137"/>
    </row>
    <row r="339" spans="1:21" s="89" customFormat="1" x14ac:dyDescent="0.25">
      <c r="C339" s="73"/>
      <c r="D339" s="73"/>
      <c r="E339" s="73"/>
      <c r="F339" s="73"/>
      <c r="G339" s="73"/>
      <c r="H339" s="73"/>
      <c r="I339" s="73"/>
      <c r="J339" s="73"/>
      <c r="K339" s="73"/>
      <c r="M339" s="139"/>
      <c r="N339"/>
      <c r="O339" s="136"/>
      <c r="P339" t="s">
        <v>2093</v>
      </c>
      <c r="Q339"/>
      <c r="R339"/>
      <c r="S339" s="135"/>
      <c r="T339" s="137" t="s">
        <v>2094</v>
      </c>
      <c r="U339" s="137"/>
    </row>
    <row r="340" spans="1:21" s="89" customFormat="1" x14ac:dyDescent="0.25">
      <c r="A340" s="73"/>
      <c r="C340" s="73"/>
      <c r="D340" s="136"/>
      <c r="E340" s="136"/>
      <c r="F340" s="73"/>
      <c r="G340" s="73"/>
      <c r="H340" s="73"/>
      <c r="I340" s="73"/>
      <c r="J340" s="73"/>
      <c r="K340" s="73"/>
      <c r="M340" s="139"/>
      <c r="N340"/>
      <c r="O340" s="285" t="s">
        <v>1919</v>
      </c>
      <c r="P340">
        <f>-((B319*P336*(A344^3)/6)+(B312*P335*(A344^3)/6)+P341*A344)</f>
        <v>-3.9682978920500411</v>
      </c>
      <c r="Q340" t="s">
        <v>701</v>
      </c>
      <c r="R340">
        <f>-((B319*P336*(A344^3)/6)+(B312*P335*(A344^3)/6)+P341*A344)</f>
        <v>-3.9682978920500411</v>
      </c>
      <c r="S340" s="135"/>
      <c r="T340" s="287">
        <f>L220*(A344^3)/(3*(19.5*10^6)*L548)</f>
        <v>12.260372694928583</v>
      </c>
      <c r="U340" s="137" t="s">
        <v>701</v>
      </c>
    </row>
    <row r="341" spans="1:21" s="89" customFormat="1" x14ac:dyDescent="0.25">
      <c r="A341" s="73"/>
      <c r="B341" s="73"/>
      <c r="C341" s="73"/>
      <c r="D341" s="136"/>
      <c r="E341" s="136"/>
      <c r="F341" s="73"/>
      <c r="G341" s="73"/>
      <c r="H341" s="73"/>
      <c r="I341" s="73"/>
      <c r="J341" s="73"/>
      <c r="K341" s="73"/>
      <c r="M341" s="139"/>
      <c r="N341" s="139"/>
      <c r="O341" s="286" t="s">
        <v>2092</v>
      </c>
      <c r="P341" s="139">
        <f>-((B319*(A344^2)/2)*P336+(B312*(A344^2)/2)*P335)</f>
        <v>0.15906902697363692</v>
      </c>
      <c r="Q341" s="139">
        <f>P341*180/PI()</f>
        <v>9.113983896842047</v>
      </c>
      <c r="R341" s="284" t="s">
        <v>1977</v>
      </c>
      <c r="S341" s="137"/>
      <c r="T341" s="137"/>
      <c r="U341" s="137"/>
    </row>
    <row r="342" spans="1:21" s="89" customFormat="1" x14ac:dyDescent="0.25">
      <c r="A342" s="73"/>
      <c r="B342" s="73"/>
      <c r="C342" s="73"/>
      <c r="D342" s="136"/>
      <c r="E342" s="136"/>
      <c r="F342" s="73"/>
      <c r="G342" s="533" t="s">
        <v>1918</v>
      </c>
      <c r="H342" s="533"/>
      <c r="I342" s="533"/>
      <c r="J342" s="534" t="s">
        <v>2078</v>
      </c>
      <c r="K342" s="535"/>
      <c r="L342" s="535"/>
      <c r="M342" s="536"/>
      <c r="N342" s="139"/>
      <c r="O342" s="139"/>
      <c r="P342" s="139">
        <f>(B319*(A344^2)/2)*P336</f>
        <v>-0.15904785033739269</v>
      </c>
      <c r="Q342" s="139"/>
      <c r="R342" s="138"/>
      <c r="S342" s="137"/>
      <c r="T342" s="137"/>
      <c r="U342" s="137"/>
    </row>
    <row r="343" spans="1:21" s="89" customFormat="1" ht="15.75" thickBot="1" x14ac:dyDescent="0.3">
      <c r="A343" s="73" t="s">
        <v>1917</v>
      </c>
      <c r="B343" s="73" t="s">
        <v>1916</v>
      </c>
      <c r="C343" s="73" t="s">
        <v>1915</v>
      </c>
      <c r="D343" s="73" t="s">
        <v>1914</v>
      </c>
      <c r="E343" s="136" t="s">
        <v>1913</v>
      </c>
      <c r="F343" s="136" t="s">
        <v>1912</v>
      </c>
      <c r="G343" s="245" t="s">
        <v>1911</v>
      </c>
      <c r="H343" s="245" t="s">
        <v>1910</v>
      </c>
      <c r="I343" s="245" t="s">
        <v>1909</v>
      </c>
      <c r="J343" s="245" t="str">
        <f t="shared" ref="J343:J365" si="55">A343</f>
        <v>x in</v>
      </c>
      <c r="K343" s="246" t="s">
        <v>1838</v>
      </c>
      <c r="L343" s="246" t="s">
        <v>1864</v>
      </c>
      <c r="M343" s="246" t="s">
        <v>1908</v>
      </c>
      <c r="N343" s="139"/>
      <c r="O343" s="139"/>
      <c r="P343" s="139"/>
      <c r="Q343" s="139"/>
      <c r="R343" s="284"/>
      <c r="S343" s="137"/>
      <c r="T343" s="137"/>
      <c r="U343" s="137"/>
    </row>
    <row r="344" spans="1:21" s="89" customFormat="1" x14ac:dyDescent="0.25">
      <c r="A344" s="249">
        <f>$C$110/2</f>
        <v>37.420527121609801</v>
      </c>
      <c r="B344" s="250">
        <f>$B$292</f>
        <v>2.3779031319999993</v>
      </c>
      <c r="C344" s="250">
        <f>$B$299</f>
        <v>0.45464511454336909</v>
      </c>
      <c r="D344" s="250">
        <f>-$B$305*A344</f>
        <v>7.4087046449416789</v>
      </c>
      <c r="E344" s="251">
        <f>$B$319*A344</f>
        <v>-88.982388643566864</v>
      </c>
      <c r="F344" s="251">
        <f>$B$312*A344</f>
        <v>17.013059839477538</v>
      </c>
      <c r="G344" s="250">
        <v>0</v>
      </c>
      <c r="H344" s="250"/>
      <c r="I344" s="250">
        <f t="shared" ref="I344:I365" si="56">$P$336*$D$243*(A344^4)/24-$P$335*$D$234*(A344^4)/24+$S$334*A344+$S$335</f>
        <v>9.4436242369730403E-2</v>
      </c>
      <c r="J344" s="250">
        <f t="shared" si="55"/>
        <v>37.420527121609801</v>
      </c>
      <c r="K344" s="252">
        <f>$G$548-$H$650</f>
        <v>2.056725417230898E-3</v>
      </c>
      <c r="L344" s="253">
        <f>$F$548-$H$648</f>
        <v>-1.4836382542221846</v>
      </c>
      <c r="M344" s="254">
        <f t="shared" ref="M344:M379" si="57">-K344*$E$548*(E344*$P$330+F344*$P$332)/($P$333)+L344*$E$548*(F344*$P$331+E344*$P$332)/($P$333)</f>
        <v>-3.6911552226272875</v>
      </c>
      <c r="N344" s="139"/>
      <c r="O344" s="247" t="s">
        <v>2079</v>
      </c>
      <c r="P344" s="139"/>
      <c r="Q344" s="139"/>
      <c r="R344" s="138"/>
      <c r="S344" s="137"/>
      <c r="T344" s="137"/>
      <c r="U344" s="137"/>
    </row>
    <row r="345" spans="1:21" s="89" customFormat="1" x14ac:dyDescent="0.25">
      <c r="A345" s="255">
        <f>A344-1</f>
        <v>36.420527121609801</v>
      </c>
      <c r="B345" s="242">
        <f t="shared" ref="B345:B365" si="58">$B$292</f>
        <v>2.3779031319999993</v>
      </c>
      <c r="C345" s="242">
        <f t="shared" ref="C345:C365" si="59">$B$299</f>
        <v>0.45464511454336909</v>
      </c>
      <c r="D345" s="242">
        <f t="shared" ref="D345:D396" si="60">-$B$305*A345</f>
        <v>7.210719602644847</v>
      </c>
      <c r="E345" s="248">
        <f t="shared" ref="E345:E365" si="61">$B$319*A345</f>
        <v>-86.604485511566864</v>
      </c>
      <c r="F345" s="248">
        <f t="shared" ref="F345:F365" si="62">$B$312*A345</f>
        <v>16.558414724934167</v>
      </c>
      <c r="G345" s="242">
        <v>0</v>
      </c>
      <c r="H345" s="242"/>
      <c r="I345" s="242">
        <f t="shared" si="56"/>
        <v>8.4739130453802242E-2</v>
      </c>
      <c r="J345" s="242">
        <f t="shared" si="55"/>
        <v>36.420527121609801</v>
      </c>
      <c r="K345" s="243">
        <f t="shared" ref="K345:K364" si="63">$G$548-$H$650</f>
        <v>2.056725417230898E-3</v>
      </c>
      <c r="L345" s="244">
        <f t="shared" ref="L345:L364" si="64">$F$548-$H$648</f>
        <v>-1.4836382542221846</v>
      </c>
      <c r="M345" s="256">
        <f t="shared" si="57"/>
        <v>-3.5925153715468241</v>
      </c>
      <c r="N345" s="139"/>
      <c r="O345" s="263" t="s">
        <v>2100</v>
      </c>
      <c r="P345" s="139"/>
      <c r="Q345" s="139"/>
      <c r="R345" s="138"/>
      <c r="S345" s="137"/>
      <c r="T345" s="137"/>
      <c r="U345" s="137"/>
    </row>
    <row r="346" spans="1:21" s="89" customFormat="1" x14ac:dyDescent="0.25">
      <c r="A346" s="255">
        <f t="shared" ref="A346:A364" si="65">A345-1</f>
        <v>35.420527121609801</v>
      </c>
      <c r="B346" s="242">
        <f t="shared" si="58"/>
        <v>2.3779031319999993</v>
      </c>
      <c r="C346" s="242">
        <f t="shared" si="59"/>
        <v>0.45464511454336909</v>
      </c>
      <c r="D346" s="242">
        <f t="shared" si="60"/>
        <v>7.0127345603480142</v>
      </c>
      <c r="E346" s="248">
        <f t="shared" si="61"/>
        <v>-84.226582379566864</v>
      </c>
      <c r="F346" s="248">
        <f t="shared" si="62"/>
        <v>16.103769610390799</v>
      </c>
      <c r="G346" s="242">
        <v>0</v>
      </c>
      <c r="H346" s="242"/>
      <c r="I346" s="242">
        <f t="shared" si="56"/>
        <v>7.5808721886145847E-2</v>
      </c>
      <c r="J346" s="242">
        <f t="shared" si="55"/>
        <v>35.420527121609801</v>
      </c>
      <c r="K346" s="243">
        <f t="shared" si="63"/>
        <v>2.056725417230898E-3</v>
      </c>
      <c r="L346" s="244">
        <f t="shared" si="64"/>
        <v>-1.4836382542221846</v>
      </c>
      <c r="M346" s="256">
        <f t="shared" si="57"/>
        <v>-3.4938755204664176</v>
      </c>
      <c r="N346" s="139"/>
      <c r="O346" s="290" t="s">
        <v>2085</v>
      </c>
      <c r="P346" s="139"/>
      <c r="Q346" s="139"/>
      <c r="R346" s="138"/>
      <c r="S346" s="137"/>
      <c r="T346" s="137"/>
      <c r="U346" s="137"/>
    </row>
    <row r="347" spans="1:21" s="89" customFormat="1" x14ac:dyDescent="0.25">
      <c r="A347" s="255">
        <f t="shared" si="65"/>
        <v>34.420527121609801</v>
      </c>
      <c r="B347" s="242">
        <f t="shared" si="58"/>
        <v>2.3779031319999993</v>
      </c>
      <c r="C347" s="242">
        <f t="shared" si="59"/>
        <v>0.45464511454336909</v>
      </c>
      <c r="D347" s="242">
        <f t="shared" si="60"/>
        <v>6.8147495180511823</v>
      </c>
      <c r="E347" s="248">
        <f t="shared" si="61"/>
        <v>-81.848679247566864</v>
      </c>
      <c r="F347" s="248">
        <f t="shared" si="62"/>
        <v>15.649124495847431</v>
      </c>
      <c r="G347" s="242">
        <v>0</v>
      </c>
      <c r="H347" s="242"/>
      <c r="I347" s="242">
        <f t="shared" si="56"/>
        <v>6.7603497078552094E-2</v>
      </c>
      <c r="J347" s="242">
        <f t="shared" si="55"/>
        <v>34.420527121609801</v>
      </c>
      <c r="K347" s="243">
        <f t="shared" si="63"/>
        <v>2.056725417230898E-3</v>
      </c>
      <c r="L347" s="244">
        <f t="shared" si="64"/>
        <v>-1.4836382542221846</v>
      </c>
      <c r="M347" s="256">
        <f t="shared" si="57"/>
        <v>-3.3952356693859542</v>
      </c>
      <c r="N347" s="139"/>
      <c r="O347" s="139"/>
      <c r="P347" s="139"/>
      <c r="Q347" s="139"/>
      <c r="R347" s="138"/>
      <c r="S347" s="137"/>
      <c r="T347" s="137"/>
      <c r="U347" s="137"/>
    </row>
    <row r="348" spans="1:21" s="89" customFormat="1" x14ac:dyDescent="0.25">
      <c r="A348" s="255">
        <f t="shared" si="65"/>
        <v>33.420527121609801</v>
      </c>
      <c r="B348" s="242">
        <f t="shared" si="58"/>
        <v>2.3779031319999993</v>
      </c>
      <c r="C348" s="242">
        <f t="shared" si="59"/>
        <v>0.45464511454336909</v>
      </c>
      <c r="D348" s="242">
        <f t="shared" si="60"/>
        <v>6.6167644757543496</v>
      </c>
      <c r="E348" s="248">
        <f t="shared" si="61"/>
        <v>-79.470776115566863</v>
      </c>
      <c r="F348" s="248">
        <f t="shared" si="62"/>
        <v>15.194479381304062</v>
      </c>
      <c r="G348" s="242">
        <v>0</v>
      </c>
      <c r="H348" s="242"/>
      <c r="I348" s="242">
        <f t="shared" si="56"/>
        <v>6.008309231638994E-2</v>
      </c>
      <c r="J348" s="242">
        <f t="shared" si="55"/>
        <v>33.420527121609801</v>
      </c>
      <c r="K348" s="243">
        <f t="shared" si="63"/>
        <v>2.056725417230898E-3</v>
      </c>
      <c r="L348" s="244">
        <f t="shared" si="64"/>
        <v>-1.4836382542221846</v>
      </c>
      <c r="M348" s="256">
        <f t="shared" si="57"/>
        <v>-3.2965958183055477</v>
      </c>
      <c r="N348" s="139"/>
      <c r="O348" s="139"/>
      <c r="P348" s="139"/>
      <c r="Q348" s="139"/>
      <c r="R348" s="138"/>
      <c r="S348" s="137"/>
      <c r="T348" s="137"/>
      <c r="U348" s="137"/>
    </row>
    <row r="349" spans="1:21" s="89" customFormat="1" x14ac:dyDescent="0.25">
      <c r="A349" s="255">
        <f t="shared" si="65"/>
        <v>32.420527121609801</v>
      </c>
      <c r="B349" s="242">
        <f t="shared" si="58"/>
        <v>2.3779031319999993</v>
      </c>
      <c r="C349" s="242">
        <f t="shared" si="59"/>
        <v>0.45464511454336909</v>
      </c>
      <c r="D349" s="242">
        <f t="shared" si="60"/>
        <v>6.4187794334575177</v>
      </c>
      <c r="E349" s="248">
        <f t="shared" si="61"/>
        <v>-77.092872983566863</v>
      </c>
      <c r="F349" s="248">
        <f t="shared" si="62"/>
        <v>14.739834266760692</v>
      </c>
      <c r="G349" s="242">
        <v>0</v>
      </c>
      <c r="H349" s="242"/>
      <c r="I349" s="242">
        <f t="shared" si="56"/>
        <v>5.3208299758606296E-2</v>
      </c>
      <c r="J349" s="242">
        <f t="shared" si="55"/>
        <v>32.420527121609801</v>
      </c>
      <c r="K349" s="243">
        <f t="shared" si="63"/>
        <v>2.056725417230898E-3</v>
      </c>
      <c r="L349" s="244">
        <f t="shared" si="64"/>
        <v>-1.4836382542221846</v>
      </c>
      <c r="M349" s="256">
        <f t="shared" si="57"/>
        <v>-3.1979559672251412</v>
      </c>
      <c r="N349" s="139"/>
      <c r="O349" s="139"/>
      <c r="P349" s="139"/>
      <c r="Q349" s="139"/>
      <c r="R349" s="138"/>
      <c r="S349" s="137"/>
      <c r="T349" s="137"/>
      <c r="U349" s="137"/>
    </row>
    <row r="350" spans="1:21" s="89" customFormat="1" x14ac:dyDescent="0.25">
      <c r="A350" s="255">
        <f t="shared" si="65"/>
        <v>31.420527121609801</v>
      </c>
      <c r="B350" s="242">
        <f t="shared" si="58"/>
        <v>2.3779031319999993</v>
      </c>
      <c r="C350" s="242">
        <f t="shared" si="59"/>
        <v>0.45464511454336909</v>
      </c>
      <c r="D350" s="242">
        <f t="shared" si="60"/>
        <v>6.2207943911606849</v>
      </c>
      <c r="E350" s="248">
        <f t="shared" si="61"/>
        <v>-74.714969851566863</v>
      </c>
      <c r="F350" s="248">
        <f t="shared" si="62"/>
        <v>14.285189152217324</v>
      </c>
      <c r="G350" s="242">
        <v>0</v>
      </c>
      <c r="H350" s="242"/>
      <c r="I350" s="242">
        <f t="shared" si="56"/>
        <v>4.6941067437726219E-2</v>
      </c>
      <c r="J350" s="242">
        <f t="shared" si="55"/>
        <v>31.420527121609801</v>
      </c>
      <c r="K350" s="243">
        <f t="shared" si="63"/>
        <v>2.056725417230898E-3</v>
      </c>
      <c r="L350" s="244">
        <f t="shared" si="64"/>
        <v>-1.4836382542221846</v>
      </c>
      <c r="M350" s="256">
        <f t="shared" si="57"/>
        <v>-3.0993161161446778</v>
      </c>
      <c r="N350" s="139"/>
      <c r="O350" s="139"/>
      <c r="P350" s="139"/>
      <c r="Q350" s="139"/>
      <c r="R350" s="138"/>
      <c r="S350" s="137"/>
      <c r="T350" s="137"/>
      <c r="U350" s="137"/>
    </row>
    <row r="351" spans="1:21" s="89" customFormat="1" x14ac:dyDescent="0.25">
      <c r="A351" s="255">
        <f t="shared" si="65"/>
        <v>30.420527121609801</v>
      </c>
      <c r="B351" s="242">
        <f t="shared" si="58"/>
        <v>2.3779031319999993</v>
      </c>
      <c r="C351" s="242">
        <f t="shared" si="59"/>
        <v>0.45464511454336909</v>
      </c>
      <c r="D351" s="242">
        <f t="shared" si="60"/>
        <v>6.022809348863853</v>
      </c>
      <c r="E351" s="248">
        <f t="shared" si="61"/>
        <v>-72.337066719566863</v>
      </c>
      <c r="F351" s="248">
        <f t="shared" si="62"/>
        <v>13.830544037673954</v>
      </c>
      <c r="G351" s="242">
        <v>0</v>
      </c>
      <c r="H351" s="242"/>
      <c r="I351" s="242">
        <f t="shared" si="56"/>
        <v>4.124449925985274E-2</v>
      </c>
      <c r="J351" s="242">
        <f t="shared" si="55"/>
        <v>30.420527121609801</v>
      </c>
      <c r="K351" s="243">
        <f t="shared" si="63"/>
        <v>2.056725417230898E-3</v>
      </c>
      <c r="L351" s="244">
        <f t="shared" si="64"/>
        <v>-1.4836382542221846</v>
      </c>
      <c r="M351" s="256">
        <f t="shared" si="57"/>
        <v>-3.0006762650641576</v>
      </c>
      <c r="N351" s="139"/>
      <c r="O351" s="139"/>
      <c r="P351" s="139"/>
      <c r="Q351" s="139"/>
      <c r="R351" s="138"/>
      <c r="S351" s="137"/>
      <c r="T351" s="137"/>
      <c r="U351" s="137"/>
    </row>
    <row r="352" spans="1:21" s="89" customFormat="1" x14ac:dyDescent="0.25">
      <c r="A352" s="255">
        <f t="shared" si="65"/>
        <v>29.420527121609801</v>
      </c>
      <c r="B352" s="242">
        <f t="shared" si="58"/>
        <v>2.3779031319999993</v>
      </c>
      <c r="C352" s="242">
        <f t="shared" si="59"/>
        <v>0.45464511454336909</v>
      </c>
      <c r="D352" s="242">
        <f t="shared" si="60"/>
        <v>5.8248243065670202</v>
      </c>
      <c r="E352" s="248">
        <f t="shared" si="61"/>
        <v>-69.959163587566863</v>
      </c>
      <c r="F352" s="248">
        <f t="shared" si="62"/>
        <v>13.375898923130585</v>
      </c>
      <c r="G352" s="242">
        <v>0</v>
      </c>
      <c r="H352" s="242"/>
      <c r="I352" s="242">
        <f t="shared" si="56"/>
        <v>3.6082855004666917E-2</v>
      </c>
      <c r="J352" s="242">
        <f t="shared" si="55"/>
        <v>29.420527121609801</v>
      </c>
      <c r="K352" s="243">
        <f t="shared" si="63"/>
        <v>2.056725417230898E-3</v>
      </c>
      <c r="L352" s="244">
        <f t="shared" si="64"/>
        <v>-1.4836382542221846</v>
      </c>
      <c r="M352" s="256">
        <f t="shared" si="57"/>
        <v>-2.9020364139837511</v>
      </c>
      <c r="N352" s="139"/>
      <c r="O352" s="139"/>
      <c r="P352" s="139"/>
      <c r="Q352" s="139"/>
      <c r="R352" s="138"/>
      <c r="S352" s="137"/>
      <c r="T352" s="137"/>
      <c r="U352" s="137"/>
    </row>
    <row r="353" spans="1:21" s="89" customFormat="1" x14ac:dyDescent="0.25">
      <c r="A353" s="255">
        <f t="shared" si="65"/>
        <v>28.420527121609801</v>
      </c>
      <c r="B353" s="242">
        <f t="shared" si="58"/>
        <v>2.3779031319999993</v>
      </c>
      <c r="C353" s="242">
        <f t="shared" si="59"/>
        <v>0.45464511454336909</v>
      </c>
      <c r="D353" s="242">
        <f t="shared" si="60"/>
        <v>5.6268392642701874</v>
      </c>
      <c r="E353" s="248">
        <f t="shared" si="61"/>
        <v>-67.581260455566877</v>
      </c>
      <c r="F353" s="248">
        <f t="shared" si="62"/>
        <v>12.921253808587215</v>
      </c>
      <c r="G353" s="242">
        <v>0</v>
      </c>
      <c r="H353" s="242"/>
      <c r="I353" s="242">
        <f t="shared" si="56"/>
        <v>3.1421550325427879E-2</v>
      </c>
      <c r="J353" s="242">
        <f t="shared" si="55"/>
        <v>28.420527121609801</v>
      </c>
      <c r="K353" s="243">
        <f t="shared" si="63"/>
        <v>2.056725417230898E-3</v>
      </c>
      <c r="L353" s="244">
        <f t="shared" si="64"/>
        <v>-1.4836382542221846</v>
      </c>
      <c r="M353" s="256">
        <f t="shared" si="57"/>
        <v>-2.8033965629033446</v>
      </c>
      <c r="N353" s="139"/>
      <c r="O353" s="139"/>
      <c r="P353" s="139"/>
      <c r="Q353" s="139"/>
      <c r="R353" s="138"/>
      <c r="S353" s="137"/>
      <c r="T353" s="137"/>
      <c r="U353" s="137"/>
    </row>
    <row r="354" spans="1:21" s="89" customFormat="1" x14ac:dyDescent="0.25">
      <c r="A354" s="255">
        <f t="shared" si="65"/>
        <v>27.420527121609801</v>
      </c>
      <c r="B354" s="242">
        <f t="shared" si="58"/>
        <v>2.3779031319999993</v>
      </c>
      <c r="C354" s="242">
        <f t="shared" si="59"/>
        <v>0.45464511454336909</v>
      </c>
      <c r="D354" s="242">
        <f t="shared" si="60"/>
        <v>5.4288542219733555</v>
      </c>
      <c r="E354" s="248">
        <f t="shared" si="61"/>
        <v>-65.203357323566877</v>
      </c>
      <c r="F354" s="248">
        <f t="shared" si="62"/>
        <v>12.466608694043847</v>
      </c>
      <c r="G354" s="242">
        <v>0</v>
      </c>
      <c r="H354" s="242"/>
      <c r="I354" s="242">
        <f t="shared" si="56"/>
        <v>2.7227156748972806E-2</v>
      </c>
      <c r="J354" s="242">
        <f t="shared" si="55"/>
        <v>27.420527121609801</v>
      </c>
      <c r="K354" s="243">
        <f t="shared" si="63"/>
        <v>2.056725417230898E-3</v>
      </c>
      <c r="L354" s="244">
        <f t="shared" si="64"/>
        <v>-1.4836382542221846</v>
      </c>
      <c r="M354" s="256">
        <f t="shared" si="57"/>
        <v>-2.7047567118228812</v>
      </c>
      <c r="N354" s="139"/>
      <c r="O354" s="139"/>
      <c r="P354" s="139"/>
      <c r="Q354" s="139"/>
      <c r="R354" s="138"/>
      <c r="S354" s="137"/>
      <c r="T354" s="137"/>
      <c r="U354" s="137"/>
    </row>
    <row r="355" spans="1:21" s="89" customFormat="1" x14ac:dyDescent="0.25">
      <c r="A355" s="255">
        <f t="shared" si="65"/>
        <v>26.420527121609801</v>
      </c>
      <c r="B355" s="242">
        <f t="shared" si="58"/>
        <v>2.3779031319999993</v>
      </c>
      <c r="C355" s="242">
        <f t="shared" si="59"/>
        <v>0.45464511454336909</v>
      </c>
      <c r="D355" s="242">
        <f t="shared" si="60"/>
        <v>5.2308691796765228</v>
      </c>
      <c r="E355" s="248">
        <f t="shared" si="61"/>
        <v>-62.82545419156687</v>
      </c>
      <c r="F355" s="248">
        <f t="shared" si="62"/>
        <v>12.011963579500478</v>
      </c>
      <c r="G355" s="242">
        <v>0</v>
      </c>
      <c r="H355" s="242"/>
      <c r="I355" s="242">
        <f t="shared" si="56"/>
        <v>2.3467401675716888E-2</v>
      </c>
      <c r="J355" s="242">
        <f t="shared" si="55"/>
        <v>26.420527121609801</v>
      </c>
      <c r="K355" s="243">
        <f t="shared" si="63"/>
        <v>2.056725417230898E-3</v>
      </c>
      <c r="L355" s="244">
        <f t="shared" si="64"/>
        <v>-1.4836382542221846</v>
      </c>
      <c r="M355" s="256">
        <f t="shared" si="57"/>
        <v>-2.6061168607424463</v>
      </c>
      <c r="N355" s="139"/>
      <c r="O355" s="139"/>
      <c r="P355" s="139"/>
      <c r="Q355" s="139"/>
      <c r="R355" s="138"/>
      <c r="S355" s="137"/>
      <c r="T355" s="137"/>
      <c r="U355" s="137"/>
    </row>
    <row r="356" spans="1:21" s="89" customFormat="1" x14ac:dyDescent="0.25">
      <c r="A356" s="255">
        <f t="shared" si="65"/>
        <v>25.420527121609801</v>
      </c>
      <c r="B356" s="242">
        <f t="shared" si="58"/>
        <v>2.3779031319999993</v>
      </c>
      <c r="C356" s="242">
        <f t="shared" si="59"/>
        <v>0.45464511454336909</v>
      </c>
      <c r="D356" s="242">
        <f t="shared" si="60"/>
        <v>5.0328841373796909</v>
      </c>
      <c r="E356" s="248">
        <f t="shared" si="61"/>
        <v>-60.447551059566869</v>
      </c>
      <c r="F356" s="248">
        <f t="shared" si="62"/>
        <v>11.557318464957108</v>
      </c>
      <c r="G356" s="242">
        <v>0</v>
      </c>
      <c r="H356" s="242"/>
      <c r="I356" s="242">
        <f t="shared" si="56"/>
        <v>2.0111168379653353E-2</v>
      </c>
      <c r="J356" s="242">
        <f t="shared" si="55"/>
        <v>25.420527121609801</v>
      </c>
      <c r="K356" s="243">
        <f t="shared" si="63"/>
        <v>2.056725417230898E-3</v>
      </c>
      <c r="L356" s="244">
        <f t="shared" si="64"/>
        <v>-1.4836382542221846</v>
      </c>
      <c r="M356" s="256">
        <f t="shared" si="57"/>
        <v>-2.5074770096619829</v>
      </c>
      <c r="N356" s="139"/>
      <c r="O356" s="139"/>
      <c r="P356" s="139"/>
      <c r="Q356" s="139"/>
      <c r="R356" s="138"/>
      <c r="S356" s="137"/>
      <c r="T356" s="137"/>
      <c r="U356" s="137"/>
    </row>
    <row r="357" spans="1:21" s="89" customFormat="1" x14ac:dyDescent="0.25">
      <c r="A357" s="255">
        <f t="shared" si="65"/>
        <v>24.420527121609801</v>
      </c>
      <c r="B357" s="242">
        <f t="shared" si="58"/>
        <v>2.3779031319999993</v>
      </c>
      <c r="C357" s="242">
        <f t="shared" si="59"/>
        <v>0.45464511454336909</v>
      </c>
      <c r="D357" s="242">
        <f t="shared" si="60"/>
        <v>4.8348990950828581</v>
      </c>
      <c r="E357" s="248">
        <f t="shared" si="61"/>
        <v>-58.069647927566876</v>
      </c>
      <c r="F357" s="248">
        <f t="shared" si="62"/>
        <v>11.10267335041374</v>
      </c>
      <c r="G357" s="242">
        <v>0</v>
      </c>
      <c r="H357" s="242"/>
      <c r="I357" s="242">
        <f t="shared" si="56"/>
        <v>1.7128496008353495E-2</v>
      </c>
      <c r="J357" s="242">
        <f t="shared" si="55"/>
        <v>24.420527121609801</v>
      </c>
      <c r="K357" s="243">
        <f>$G$548-$H$650</f>
        <v>2.056725417230898E-3</v>
      </c>
      <c r="L357" s="244">
        <f>$F$548-$H$648</f>
        <v>-1.4836382542221846</v>
      </c>
      <c r="M357" s="256">
        <f t="shared" si="57"/>
        <v>-2.4088371585815196</v>
      </c>
      <c r="N357" s="139"/>
      <c r="O357" s="139"/>
      <c r="P357" s="139"/>
      <c r="Q357" s="139"/>
      <c r="R357" s="138"/>
      <c r="S357" s="137"/>
      <c r="T357" s="137"/>
      <c r="U357" s="137"/>
    </row>
    <row r="358" spans="1:21" s="89" customFormat="1" x14ac:dyDescent="0.25">
      <c r="A358" s="255">
        <f t="shared" si="65"/>
        <v>23.420527121609801</v>
      </c>
      <c r="B358" s="242">
        <f t="shared" si="58"/>
        <v>2.3779031319999993</v>
      </c>
      <c r="C358" s="242">
        <f t="shared" si="59"/>
        <v>0.45464511454336909</v>
      </c>
      <c r="D358" s="242">
        <f t="shared" si="60"/>
        <v>4.6369140527860262</v>
      </c>
      <c r="E358" s="248">
        <f t="shared" si="61"/>
        <v>-55.691744795566876</v>
      </c>
      <c r="F358" s="248">
        <f t="shared" si="62"/>
        <v>10.64802823587037</v>
      </c>
      <c r="G358" s="242">
        <v>0</v>
      </c>
      <c r="H358" s="242"/>
      <c r="I358" s="242">
        <f t="shared" si="56"/>
        <v>1.4490579582966619E-2</v>
      </c>
      <c r="J358" s="242">
        <f t="shared" si="55"/>
        <v>23.420527121609801</v>
      </c>
      <c r="K358" s="243">
        <f t="shared" si="63"/>
        <v>2.056725417230898E-3</v>
      </c>
      <c r="L358" s="244">
        <f t="shared" si="64"/>
        <v>-1.4836382542221846</v>
      </c>
      <c r="M358" s="256">
        <f t="shared" si="57"/>
        <v>-2.3101973075010847</v>
      </c>
      <c r="N358" s="139"/>
      <c r="O358" s="139"/>
      <c r="P358" s="139"/>
      <c r="Q358" s="139"/>
      <c r="R358" s="138"/>
      <c r="S358" s="137"/>
      <c r="T358" s="137"/>
      <c r="U358" s="137"/>
    </row>
    <row r="359" spans="1:21" s="89" customFormat="1" x14ac:dyDescent="0.25">
      <c r="A359" s="255">
        <f t="shared" si="65"/>
        <v>22.420527121609801</v>
      </c>
      <c r="B359" s="242">
        <f t="shared" si="58"/>
        <v>2.3779031319999993</v>
      </c>
      <c r="C359" s="242">
        <f t="shared" si="59"/>
        <v>0.45464511454336909</v>
      </c>
      <c r="D359" s="242">
        <f t="shared" si="60"/>
        <v>4.4389290104891934</v>
      </c>
      <c r="E359" s="248">
        <f t="shared" si="61"/>
        <v>-53.313841663566876</v>
      </c>
      <c r="F359" s="248">
        <f t="shared" si="62"/>
        <v>10.193383121327001</v>
      </c>
      <c r="G359" s="242">
        <v>0</v>
      </c>
      <c r="H359" s="242"/>
      <c r="I359" s="242">
        <f t="shared" si="56"/>
        <v>1.2169769998220099E-2</v>
      </c>
      <c r="J359" s="242">
        <f t="shared" si="55"/>
        <v>22.420527121609801</v>
      </c>
      <c r="K359" s="243">
        <f t="shared" si="63"/>
        <v>2.056725417230898E-3</v>
      </c>
      <c r="L359" s="244">
        <f t="shared" si="64"/>
        <v>-1.4836382542221846</v>
      </c>
      <c r="M359" s="256">
        <f t="shared" si="57"/>
        <v>-2.2115574564206497</v>
      </c>
      <c r="N359" s="139"/>
      <c r="O359" s="139"/>
      <c r="P359" s="139"/>
      <c r="Q359" s="139"/>
      <c r="R359" s="138"/>
      <c r="S359" s="137"/>
      <c r="T359" s="137"/>
      <c r="U359" s="137"/>
    </row>
    <row r="360" spans="1:21" s="89" customFormat="1" x14ac:dyDescent="0.25">
      <c r="A360" s="255">
        <f t="shared" si="65"/>
        <v>21.420527121609801</v>
      </c>
      <c r="B360" s="242">
        <f t="shared" si="58"/>
        <v>2.3779031319999993</v>
      </c>
      <c r="C360" s="242">
        <f t="shared" si="59"/>
        <v>0.45464511454336909</v>
      </c>
      <c r="D360" s="242">
        <f t="shared" si="60"/>
        <v>4.2409439681923615</v>
      </c>
      <c r="E360" s="248">
        <f t="shared" si="61"/>
        <v>-50.935938531566876</v>
      </c>
      <c r="F360" s="248">
        <f t="shared" si="62"/>
        <v>9.7387380067836329</v>
      </c>
      <c r="G360" s="242">
        <v>0</v>
      </c>
      <c r="H360" s="242"/>
      <c r="I360" s="242">
        <f t="shared" si="56"/>
        <v>1.013957402241932E-2</v>
      </c>
      <c r="J360" s="242">
        <f t="shared" si="55"/>
        <v>21.420527121609801</v>
      </c>
      <c r="K360" s="243">
        <f t="shared" si="63"/>
        <v>2.056725417230898E-3</v>
      </c>
      <c r="L360" s="244">
        <f t="shared" si="64"/>
        <v>-1.4836382542221846</v>
      </c>
      <c r="M360" s="256">
        <f t="shared" si="57"/>
        <v>-2.1129176053401864</v>
      </c>
      <c r="N360" s="139"/>
      <c r="O360" s="139"/>
      <c r="P360" s="139"/>
      <c r="Q360" s="139"/>
      <c r="R360" s="138"/>
      <c r="S360" s="137"/>
      <c r="T360" s="137"/>
      <c r="U360" s="137"/>
    </row>
    <row r="361" spans="1:21" s="89" customFormat="1" x14ac:dyDescent="0.25">
      <c r="A361" s="255">
        <f t="shared" si="65"/>
        <v>20.420527121609801</v>
      </c>
      <c r="B361" s="242">
        <f t="shared" si="58"/>
        <v>2.3779031319999993</v>
      </c>
      <c r="C361" s="242">
        <f t="shared" si="59"/>
        <v>0.45464511454336909</v>
      </c>
      <c r="D361" s="242">
        <f t="shared" si="60"/>
        <v>4.0429589258955287</v>
      </c>
      <c r="E361" s="248">
        <f t="shared" si="61"/>
        <v>-48.558035399566876</v>
      </c>
      <c r="F361" s="248">
        <f t="shared" si="62"/>
        <v>9.2840928922402632</v>
      </c>
      <c r="G361" s="242">
        <v>0</v>
      </c>
      <c r="H361" s="242"/>
      <c r="I361" s="242">
        <f t="shared" si="56"/>
        <v>8.3746542974477232E-3</v>
      </c>
      <c r="J361" s="242">
        <f t="shared" si="55"/>
        <v>20.420527121609801</v>
      </c>
      <c r="K361" s="243">
        <f t="shared" si="63"/>
        <v>2.056725417230898E-3</v>
      </c>
      <c r="L361" s="244">
        <f t="shared" si="64"/>
        <v>-1.4836382542221846</v>
      </c>
      <c r="M361" s="256">
        <f t="shared" si="57"/>
        <v>-2.0142777542597798</v>
      </c>
      <c r="N361" s="139"/>
      <c r="O361" s="139"/>
      <c r="P361" s="139"/>
      <c r="Q361" s="139"/>
      <c r="R361" s="138"/>
      <c r="S361" s="137"/>
      <c r="T361" s="137"/>
      <c r="U361" s="137"/>
    </row>
    <row r="362" spans="1:21" s="89" customFormat="1" x14ac:dyDescent="0.25">
      <c r="A362" s="255">
        <f t="shared" si="65"/>
        <v>19.420527121609801</v>
      </c>
      <c r="B362" s="242">
        <f t="shared" si="58"/>
        <v>2.3779031319999993</v>
      </c>
      <c r="C362" s="242">
        <f t="shared" si="59"/>
        <v>0.45464511454336909</v>
      </c>
      <c r="D362" s="242">
        <f t="shared" si="60"/>
        <v>3.8449738835986964</v>
      </c>
      <c r="E362" s="248">
        <f t="shared" si="61"/>
        <v>-46.180132267566876</v>
      </c>
      <c r="F362" s="248">
        <f t="shared" si="62"/>
        <v>8.8294477776968936</v>
      </c>
      <c r="G362" s="242">
        <v>0</v>
      </c>
      <c r="H362" s="242"/>
      <c r="I362" s="242">
        <f t="shared" si="56"/>
        <v>6.8508293387667795E-3</v>
      </c>
      <c r="J362" s="242">
        <f t="shared" si="55"/>
        <v>19.420527121609801</v>
      </c>
      <c r="K362" s="243">
        <f t="shared" si="63"/>
        <v>2.056725417230898E-3</v>
      </c>
      <c r="L362" s="244">
        <f t="shared" si="64"/>
        <v>-1.4836382542221846</v>
      </c>
      <c r="M362" s="256">
        <f t="shared" si="57"/>
        <v>-1.9156379031792881</v>
      </c>
      <c r="N362" s="139"/>
      <c r="O362" s="139"/>
      <c r="P362" s="139"/>
      <c r="Q362" s="139"/>
      <c r="R362" s="138"/>
      <c r="S362" s="137"/>
      <c r="T362" s="137"/>
      <c r="U362" s="137"/>
    </row>
    <row r="363" spans="1:21" s="89" customFormat="1" x14ac:dyDescent="0.25">
      <c r="A363" s="255">
        <f t="shared" si="65"/>
        <v>18.420527121609801</v>
      </c>
      <c r="B363" s="242">
        <f t="shared" si="58"/>
        <v>2.3779031319999993</v>
      </c>
      <c r="C363" s="242">
        <f t="shared" si="59"/>
        <v>0.45464511454336909</v>
      </c>
      <c r="D363" s="242">
        <f t="shared" si="60"/>
        <v>3.6469888413018641</v>
      </c>
      <c r="E363" s="248">
        <f t="shared" si="61"/>
        <v>-43.802229135566876</v>
      </c>
      <c r="F363" s="248">
        <f t="shared" si="62"/>
        <v>8.3748026631535257</v>
      </c>
      <c r="G363" s="242">
        <v>0</v>
      </c>
      <c r="H363" s="242"/>
      <c r="I363" s="242">
        <f t="shared" si="56"/>
        <v>5.5450735354160069E-3</v>
      </c>
      <c r="J363" s="242">
        <f t="shared" si="55"/>
        <v>18.420527121609801</v>
      </c>
      <c r="K363" s="243">
        <f>$G$548-$H$650</f>
        <v>2.056725417230898E-3</v>
      </c>
      <c r="L363" s="244">
        <f>$F$548-$H$648</f>
        <v>-1.4836382542221846</v>
      </c>
      <c r="M363" s="256">
        <f t="shared" si="57"/>
        <v>-1.8169980520988815</v>
      </c>
      <c r="N363" s="139"/>
      <c r="O363" s="139"/>
      <c r="P363" s="139"/>
      <c r="Q363" s="139"/>
      <c r="R363" s="138"/>
      <c r="S363" s="137"/>
      <c r="T363" s="137"/>
      <c r="U363" s="137"/>
    </row>
    <row r="364" spans="1:21" s="89" customFormat="1" x14ac:dyDescent="0.25">
      <c r="A364" s="255">
        <f t="shared" si="65"/>
        <v>17.420527121609801</v>
      </c>
      <c r="B364" s="242">
        <f t="shared" si="58"/>
        <v>2.3779031319999993</v>
      </c>
      <c r="C364" s="242">
        <f t="shared" si="59"/>
        <v>0.45464511454336909</v>
      </c>
      <c r="D364" s="242">
        <f t="shared" si="60"/>
        <v>3.4490037990050317</v>
      </c>
      <c r="E364" s="248">
        <f t="shared" si="61"/>
        <v>-41.424326003566875</v>
      </c>
      <c r="F364" s="248">
        <f t="shared" si="62"/>
        <v>7.9201575486101561</v>
      </c>
      <c r="G364" s="242">
        <v>0</v>
      </c>
      <c r="H364" s="242"/>
      <c r="I364" s="242">
        <f t="shared" si="56"/>
        <v>4.4355171500129603E-3</v>
      </c>
      <c r="J364" s="242">
        <f t="shared" si="55"/>
        <v>17.420527121609801</v>
      </c>
      <c r="K364" s="243">
        <f t="shared" si="63"/>
        <v>2.056725417230898E-3</v>
      </c>
      <c r="L364" s="244">
        <f t="shared" si="64"/>
        <v>-1.4836382542221846</v>
      </c>
      <c r="M364" s="256">
        <f t="shared" si="57"/>
        <v>-1.7183582010184466</v>
      </c>
      <c r="N364" s="139"/>
      <c r="O364" s="139"/>
      <c r="P364" s="139"/>
      <c r="Q364" s="139"/>
      <c r="R364" s="138"/>
      <c r="S364" s="137"/>
      <c r="T364" s="137"/>
      <c r="U364" s="137"/>
    </row>
    <row r="365" spans="1:21" s="89" customFormat="1" ht="15.75" thickBot="1" x14ac:dyDescent="0.3">
      <c r="A365" s="257">
        <v>0</v>
      </c>
      <c r="B365" s="258">
        <f t="shared" si="58"/>
        <v>2.3779031319999993</v>
      </c>
      <c r="C365" s="258">
        <f t="shared" si="59"/>
        <v>0.45464511454336909</v>
      </c>
      <c r="D365" s="258">
        <f t="shared" si="60"/>
        <v>0</v>
      </c>
      <c r="E365" s="259">
        <f t="shared" si="61"/>
        <v>0</v>
      </c>
      <c r="F365" s="259">
        <f t="shared" si="62"/>
        <v>0</v>
      </c>
      <c r="G365" s="258">
        <v>0</v>
      </c>
      <c r="H365" s="258"/>
      <c r="I365" s="258">
        <f t="shared" si="56"/>
        <v>0</v>
      </c>
      <c r="J365" s="258">
        <f t="shared" si="55"/>
        <v>0</v>
      </c>
      <c r="K365" s="260">
        <f>$G$548-$H$650</f>
        <v>2.056725417230898E-3</v>
      </c>
      <c r="L365" s="261">
        <f>$F$548-$H$648</f>
        <v>-1.4836382542221846</v>
      </c>
      <c r="M365" s="262">
        <f t="shared" si="57"/>
        <v>0</v>
      </c>
      <c r="N365" s="139"/>
      <c r="O365" s="139"/>
      <c r="P365" s="139"/>
      <c r="Q365" s="139"/>
      <c r="R365" s="138"/>
      <c r="S365" s="137"/>
      <c r="T365" s="137"/>
      <c r="U365" s="137"/>
    </row>
    <row r="366" spans="1:21" s="89" customFormat="1" x14ac:dyDescent="0.25">
      <c r="A366" s="275">
        <f>$A$344</f>
        <v>37.420527121609801</v>
      </c>
      <c r="B366" s="276">
        <f>$B$292</f>
        <v>2.3779031319999993</v>
      </c>
      <c r="C366" s="276">
        <f>$B$299</f>
        <v>0.45464511454336909</v>
      </c>
      <c r="D366" s="276">
        <f t="shared" si="60"/>
        <v>7.4087046449416789</v>
      </c>
      <c r="E366" s="277">
        <f t="shared" ref="E366:E396" si="66">$B$319*A366</f>
        <v>-88.982388643566864</v>
      </c>
      <c r="F366" s="277">
        <f t="shared" ref="F366:F396" si="67">$B$312*A366</f>
        <v>17.013059839477538</v>
      </c>
      <c r="G366" s="276">
        <v>0</v>
      </c>
      <c r="H366" s="276"/>
      <c r="I366" s="276">
        <f t="shared" ref="I366:I396" si="68">$P$336*$D$243*(A366^4)/24-$P$335*$D$234*(A366^4)/24+$S$334*A366+$S$335</f>
        <v>9.4436242369730403E-2</v>
      </c>
      <c r="J366" s="276">
        <f t="shared" ref="J366:J396" si="69">A366</f>
        <v>37.420527121609801</v>
      </c>
      <c r="K366" s="278">
        <f>K367+($AB$123/(2*7))</f>
        <v>0.1290567254172309</v>
      </c>
      <c r="L366" s="279">
        <f t="shared" ref="L366:L379" si="70">$F$548-$H$648</f>
        <v>-1.4836382542221846</v>
      </c>
      <c r="M366" s="280">
        <f t="shared" si="57"/>
        <v>21050.76614945391</v>
      </c>
      <c r="N366" s="139"/>
      <c r="O366" s="139"/>
      <c r="P366" s="139"/>
      <c r="Q366" s="139"/>
      <c r="R366" s="138"/>
      <c r="S366" s="137"/>
      <c r="T366" s="137"/>
      <c r="U366" s="137"/>
    </row>
    <row r="367" spans="1:21" s="89" customFormat="1" x14ac:dyDescent="0.25">
      <c r="A367" s="232">
        <f t="shared" ref="A367:A396" si="71">$A$344</f>
        <v>37.420527121609801</v>
      </c>
      <c r="B367" s="267">
        <f t="shared" ref="B367:B396" si="72">$B$292</f>
        <v>2.3779031319999993</v>
      </c>
      <c r="C367" s="267">
        <f t="shared" ref="C367:C396" si="73">$B$299</f>
        <v>0.45464511454336909</v>
      </c>
      <c r="D367" s="267">
        <f t="shared" si="60"/>
        <v>7.4087046449416789</v>
      </c>
      <c r="E367" s="148">
        <f t="shared" si="66"/>
        <v>-88.982388643566864</v>
      </c>
      <c r="F367" s="148">
        <f t="shared" si="67"/>
        <v>17.013059839477538</v>
      </c>
      <c r="G367" s="267">
        <v>0</v>
      </c>
      <c r="H367" s="267"/>
      <c r="I367" s="267">
        <f t="shared" si="68"/>
        <v>9.4436242369730403E-2</v>
      </c>
      <c r="J367" s="267">
        <f t="shared" si="69"/>
        <v>37.420527121609801</v>
      </c>
      <c r="K367" s="268">
        <f t="shared" ref="K367:K371" si="74">K368+($AB$123/(2*7))</f>
        <v>0.11091386827437376</v>
      </c>
      <c r="L367" s="269">
        <f t="shared" si="70"/>
        <v>-1.4836382542221846</v>
      </c>
      <c r="M367" s="172">
        <f t="shared" si="57"/>
        <v>18042.986534500116</v>
      </c>
      <c r="N367" s="139"/>
      <c r="O367" s="139"/>
      <c r="P367" s="139"/>
      <c r="Q367" s="139"/>
      <c r="R367" s="138"/>
      <c r="S367" s="137"/>
      <c r="T367" s="137"/>
      <c r="U367" s="137"/>
    </row>
    <row r="368" spans="1:21" s="89" customFormat="1" x14ac:dyDescent="0.25">
      <c r="A368" s="232">
        <f t="shared" si="71"/>
        <v>37.420527121609801</v>
      </c>
      <c r="B368" s="267">
        <f t="shared" si="72"/>
        <v>2.3779031319999993</v>
      </c>
      <c r="C368" s="267">
        <f t="shared" si="73"/>
        <v>0.45464511454336909</v>
      </c>
      <c r="D368" s="267">
        <f t="shared" si="60"/>
        <v>7.4087046449416789</v>
      </c>
      <c r="E368" s="148">
        <f t="shared" si="66"/>
        <v>-88.982388643566864</v>
      </c>
      <c r="F368" s="148">
        <f t="shared" si="67"/>
        <v>17.013059839477538</v>
      </c>
      <c r="G368" s="267">
        <v>0</v>
      </c>
      <c r="H368" s="267"/>
      <c r="I368" s="267">
        <f t="shared" si="68"/>
        <v>9.4436242369730403E-2</v>
      </c>
      <c r="J368" s="267">
        <f t="shared" si="69"/>
        <v>37.420527121609801</v>
      </c>
      <c r="K368" s="268">
        <f t="shared" si="74"/>
        <v>9.2771011131516617E-2</v>
      </c>
      <c r="L368" s="269">
        <f t="shared" si="70"/>
        <v>-1.4836382542221846</v>
      </c>
      <c r="M368" s="172">
        <f t="shared" si="57"/>
        <v>15035.20691954633</v>
      </c>
      <c r="N368" s="139"/>
      <c r="O368" s="139"/>
      <c r="P368" s="139"/>
      <c r="Q368" s="139"/>
      <c r="R368" s="138"/>
      <c r="S368" s="137"/>
      <c r="T368" s="137"/>
      <c r="U368" s="137"/>
    </row>
    <row r="369" spans="1:21" s="89" customFormat="1" x14ac:dyDescent="0.25">
      <c r="A369" s="232">
        <f t="shared" si="71"/>
        <v>37.420527121609801</v>
      </c>
      <c r="B369" s="267">
        <f t="shared" si="72"/>
        <v>2.3779031319999993</v>
      </c>
      <c r="C369" s="267">
        <f t="shared" si="73"/>
        <v>0.45464511454336909</v>
      </c>
      <c r="D369" s="267">
        <f t="shared" si="60"/>
        <v>7.4087046449416789</v>
      </c>
      <c r="E369" s="148">
        <f t="shared" si="66"/>
        <v>-88.982388643566864</v>
      </c>
      <c r="F369" s="148">
        <f t="shared" si="67"/>
        <v>17.013059839477538</v>
      </c>
      <c r="G369" s="267">
        <v>0</v>
      </c>
      <c r="H369" s="267"/>
      <c r="I369" s="267">
        <f t="shared" si="68"/>
        <v>9.4436242369730403E-2</v>
      </c>
      <c r="J369" s="267">
        <f t="shared" si="69"/>
        <v>37.420527121609801</v>
      </c>
      <c r="K369" s="268">
        <f t="shared" si="74"/>
        <v>7.4628153988659476E-2</v>
      </c>
      <c r="L369" s="269">
        <f t="shared" si="70"/>
        <v>-1.4836382542221846</v>
      </c>
      <c r="M369" s="172">
        <f t="shared" si="57"/>
        <v>12027.427304592537</v>
      </c>
      <c r="N369" s="139"/>
      <c r="O369" s="139"/>
      <c r="P369" s="139"/>
      <c r="Q369" s="139"/>
      <c r="R369" s="138"/>
      <c r="S369" s="137"/>
      <c r="T369" s="137"/>
      <c r="U369" s="137"/>
    </row>
    <row r="370" spans="1:21" s="89" customFormat="1" x14ac:dyDescent="0.25">
      <c r="A370" s="232">
        <f t="shared" si="71"/>
        <v>37.420527121609801</v>
      </c>
      <c r="B370" s="267">
        <f t="shared" si="72"/>
        <v>2.3779031319999993</v>
      </c>
      <c r="C370" s="267">
        <f t="shared" si="73"/>
        <v>0.45464511454336909</v>
      </c>
      <c r="D370" s="267">
        <f t="shared" si="60"/>
        <v>7.4087046449416789</v>
      </c>
      <c r="E370" s="148">
        <f t="shared" si="66"/>
        <v>-88.982388643566864</v>
      </c>
      <c r="F370" s="148">
        <f t="shared" si="67"/>
        <v>17.013059839477538</v>
      </c>
      <c r="G370" s="267">
        <v>0</v>
      </c>
      <c r="H370" s="267"/>
      <c r="I370" s="267">
        <f t="shared" si="68"/>
        <v>9.4436242369730403E-2</v>
      </c>
      <c r="J370" s="267">
        <f t="shared" si="69"/>
        <v>37.420527121609801</v>
      </c>
      <c r="K370" s="268">
        <f t="shared" si="74"/>
        <v>5.6485296845802335E-2</v>
      </c>
      <c r="L370" s="269">
        <f t="shared" si="70"/>
        <v>-1.4836382542221846</v>
      </c>
      <c r="M370" s="172">
        <f t="shared" si="57"/>
        <v>9019.6476896387467</v>
      </c>
      <c r="N370" s="139"/>
      <c r="O370" s="139"/>
      <c r="P370" s="139"/>
      <c r="Q370" s="139"/>
      <c r="R370" s="138"/>
      <c r="S370" s="137"/>
      <c r="T370" s="137"/>
      <c r="U370" s="137"/>
    </row>
    <row r="371" spans="1:21" s="89" customFormat="1" x14ac:dyDescent="0.25">
      <c r="A371" s="232">
        <f t="shared" si="71"/>
        <v>37.420527121609801</v>
      </c>
      <c r="B371" s="267">
        <f t="shared" si="72"/>
        <v>2.3779031319999993</v>
      </c>
      <c r="C371" s="267">
        <f t="shared" si="73"/>
        <v>0.45464511454336909</v>
      </c>
      <c r="D371" s="267">
        <f t="shared" si="60"/>
        <v>7.4087046449416789</v>
      </c>
      <c r="E371" s="148">
        <f t="shared" si="66"/>
        <v>-88.982388643566864</v>
      </c>
      <c r="F371" s="148">
        <f t="shared" si="67"/>
        <v>17.013059839477538</v>
      </c>
      <c r="G371" s="267">
        <v>0</v>
      </c>
      <c r="H371" s="267"/>
      <c r="I371" s="267">
        <f t="shared" si="68"/>
        <v>9.4436242369730403E-2</v>
      </c>
      <c r="J371" s="267">
        <f t="shared" si="69"/>
        <v>37.420527121609801</v>
      </c>
      <c r="K371" s="268">
        <f t="shared" si="74"/>
        <v>3.8342439702945187E-2</v>
      </c>
      <c r="L371" s="269">
        <f t="shared" si="70"/>
        <v>-1.4836382542221846</v>
      </c>
      <c r="M371" s="172">
        <f t="shared" si="57"/>
        <v>6011.868074684955</v>
      </c>
      <c r="N371" s="139"/>
      <c r="O371" s="139"/>
      <c r="P371" s="139"/>
      <c r="Q371" s="139"/>
      <c r="R371" s="138"/>
      <c r="S371" s="137"/>
      <c r="T371" s="137"/>
      <c r="U371" s="137"/>
    </row>
    <row r="372" spans="1:21" s="89" customFormat="1" x14ac:dyDescent="0.25">
      <c r="A372" s="232">
        <f t="shared" si="71"/>
        <v>37.420527121609801</v>
      </c>
      <c r="B372" s="267">
        <f t="shared" si="72"/>
        <v>2.3779031319999993</v>
      </c>
      <c r="C372" s="267">
        <f t="shared" si="73"/>
        <v>0.45464511454336909</v>
      </c>
      <c r="D372" s="267">
        <f t="shared" si="60"/>
        <v>7.4087046449416789</v>
      </c>
      <c r="E372" s="148">
        <f t="shared" si="66"/>
        <v>-88.982388643566864</v>
      </c>
      <c r="F372" s="148">
        <f t="shared" si="67"/>
        <v>17.013059839477538</v>
      </c>
      <c r="G372" s="267">
        <v>0</v>
      </c>
      <c r="H372" s="267"/>
      <c r="I372" s="267">
        <f t="shared" si="68"/>
        <v>9.4436242369730403E-2</v>
      </c>
      <c r="J372" s="267">
        <f t="shared" si="69"/>
        <v>37.420527121609801</v>
      </c>
      <c r="K372" s="268">
        <f>K373+($AB$123/(2*7))</f>
        <v>2.0199582560088043E-2</v>
      </c>
      <c r="L372" s="269">
        <f t="shared" si="70"/>
        <v>-1.4836382542221846</v>
      </c>
      <c r="M372" s="172">
        <f t="shared" si="57"/>
        <v>3004.0884597311638</v>
      </c>
      <c r="N372" s="139"/>
      <c r="O372" s="139"/>
      <c r="P372" s="139"/>
      <c r="Q372" s="139"/>
      <c r="R372" s="138"/>
      <c r="S372" s="137"/>
      <c r="T372" s="137"/>
      <c r="U372" s="137"/>
    </row>
    <row r="373" spans="1:21" s="89" customFormat="1" x14ac:dyDescent="0.25">
      <c r="A373" s="270">
        <f t="shared" si="71"/>
        <v>37.420527121609801</v>
      </c>
      <c r="B373" s="270">
        <f t="shared" si="72"/>
        <v>2.3779031319999993</v>
      </c>
      <c r="C373" s="271">
        <f t="shared" si="73"/>
        <v>0.45464511454336909</v>
      </c>
      <c r="D373" s="271">
        <f t="shared" si="60"/>
        <v>7.4087046449416789</v>
      </c>
      <c r="E373" s="272">
        <f t="shared" si="66"/>
        <v>-88.982388643566864</v>
      </c>
      <c r="F373" s="272">
        <f t="shared" si="67"/>
        <v>17.013059839477538</v>
      </c>
      <c r="G373" s="271">
        <v>0</v>
      </c>
      <c r="H373" s="271"/>
      <c r="I373" s="271">
        <f t="shared" si="68"/>
        <v>9.4436242369730403E-2</v>
      </c>
      <c r="J373" s="271">
        <f t="shared" si="69"/>
        <v>37.420527121609801</v>
      </c>
      <c r="K373" s="273">
        <f>$G$548-$H$650</f>
        <v>2.056725417230898E-3</v>
      </c>
      <c r="L373" s="274">
        <f t="shared" si="70"/>
        <v>-1.4836382542221846</v>
      </c>
      <c r="M373" s="281">
        <f t="shared" si="57"/>
        <v>-3.6911552226272875</v>
      </c>
      <c r="N373" s="139"/>
      <c r="O373" s="265"/>
      <c r="P373" s="264"/>
      <c r="Q373" s="139"/>
      <c r="R373" s="138"/>
      <c r="S373" s="137"/>
      <c r="T373" s="137"/>
      <c r="U373" s="137"/>
    </row>
    <row r="374" spans="1:21" s="89" customFormat="1" x14ac:dyDescent="0.25">
      <c r="A374" s="232">
        <f t="shared" si="71"/>
        <v>37.420527121609801</v>
      </c>
      <c r="B374" s="267">
        <f t="shared" si="72"/>
        <v>2.3779031319999993</v>
      </c>
      <c r="C374" s="267">
        <f t="shared" si="73"/>
        <v>0.45464511454336909</v>
      </c>
      <c r="D374" s="267">
        <f t="shared" si="60"/>
        <v>7.4087046449416789</v>
      </c>
      <c r="E374" s="148">
        <f t="shared" si="66"/>
        <v>-88.982388643566864</v>
      </c>
      <c r="F374" s="148">
        <f t="shared" si="67"/>
        <v>17.013059839477538</v>
      </c>
      <c r="G374" s="267">
        <v>0</v>
      </c>
      <c r="H374" s="267"/>
      <c r="I374" s="267">
        <f t="shared" si="68"/>
        <v>9.4436242369730403E-2</v>
      </c>
      <c r="J374" s="267">
        <f t="shared" si="69"/>
        <v>37.420527121609801</v>
      </c>
      <c r="K374" s="268">
        <f>K373-($AB$123/(2*6))</f>
        <v>-1.9109941249435769E-2</v>
      </c>
      <c r="L374" s="269">
        <f t="shared" si="70"/>
        <v>-1.4836382542221846</v>
      </c>
      <c r="M374" s="172">
        <f t="shared" si="57"/>
        <v>-3512.7673726687171</v>
      </c>
      <c r="N374" s="139"/>
      <c r="O374" s="139"/>
      <c r="P374" s="139"/>
      <c r="Q374" s="139"/>
      <c r="R374" s="138"/>
      <c r="S374" s="137"/>
      <c r="T374" s="137"/>
      <c r="U374" s="137"/>
    </row>
    <row r="375" spans="1:21" s="89" customFormat="1" x14ac:dyDescent="0.25">
      <c r="A375" s="232">
        <f t="shared" si="71"/>
        <v>37.420527121609801</v>
      </c>
      <c r="B375" s="267">
        <f t="shared" si="72"/>
        <v>2.3779031319999993</v>
      </c>
      <c r="C375" s="267">
        <f t="shared" si="73"/>
        <v>0.45464511454336909</v>
      </c>
      <c r="D375" s="267">
        <f t="shared" si="60"/>
        <v>7.4087046449416789</v>
      </c>
      <c r="E375" s="148">
        <f t="shared" si="66"/>
        <v>-88.982388643566864</v>
      </c>
      <c r="F375" s="148">
        <f t="shared" si="67"/>
        <v>17.013059839477538</v>
      </c>
      <c r="G375" s="267">
        <v>0</v>
      </c>
      <c r="H375" s="267"/>
      <c r="I375" s="267">
        <f t="shared" si="68"/>
        <v>9.4436242369730403E-2</v>
      </c>
      <c r="J375" s="267">
        <f t="shared" si="69"/>
        <v>37.420527121609801</v>
      </c>
      <c r="K375" s="268">
        <f t="shared" ref="K375:K379" si="75">K374-($AB$123/(2*6))</f>
        <v>-4.0276607916102436E-2</v>
      </c>
      <c r="L375" s="269">
        <f t="shared" si="70"/>
        <v>-1.4836382542221846</v>
      </c>
      <c r="M375" s="172">
        <f t="shared" si="57"/>
        <v>-7021.8435901148059</v>
      </c>
      <c r="N375" s="139"/>
      <c r="O375" s="139"/>
      <c r="P375" s="139"/>
      <c r="Q375" s="139"/>
      <c r="R375" s="138"/>
      <c r="S375" s="137"/>
      <c r="T375" s="137"/>
      <c r="U375" s="137"/>
    </row>
    <row r="376" spans="1:21" s="89" customFormat="1" x14ac:dyDescent="0.25">
      <c r="A376" s="232">
        <f t="shared" si="71"/>
        <v>37.420527121609801</v>
      </c>
      <c r="B376" s="267">
        <f t="shared" si="72"/>
        <v>2.3779031319999993</v>
      </c>
      <c r="C376" s="267">
        <f t="shared" si="73"/>
        <v>0.45464511454336909</v>
      </c>
      <c r="D376" s="267">
        <f t="shared" si="60"/>
        <v>7.4087046449416789</v>
      </c>
      <c r="E376" s="148">
        <f t="shared" si="66"/>
        <v>-88.982388643566864</v>
      </c>
      <c r="F376" s="148">
        <f t="shared" si="67"/>
        <v>17.013059839477538</v>
      </c>
      <c r="G376" s="267">
        <v>0</v>
      </c>
      <c r="H376" s="267"/>
      <c r="I376" s="267">
        <f t="shared" si="68"/>
        <v>9.4436242369730403E-2</v>
      </c>
      <c r="J376" s="267">
        <f t="shared" si="69"/>
        <v>37.420527121609801</v>
      </c>
      <c r="K376" s="268">
        <f t="shared" si="75"/>
        <v>-6.1443274582769103E-2</v>
      </c>
      <c r="L376" s="269">
        <f t="shared" si="70"/>
        <v>-1.4836382542221846</v>
      </c>
      <c r="M376" s="172">
        <f t="shared" si="57"/>
        <v>-10530.919807560897</v>
      </c>
      <c r="N376" s="139"/>
      <c r="O376" s="139"/>
      <c r="P376" s="139"/>
      <c r="Q376" s="139"/>
      <c r="R376" s="138"/>
      <c r="S376" s="137"/>
      <c r="T376" s="137"/>
      <c r="U376" s="137"/>
    </row>
    <row r="377" spans="1:21" s="89" customFormat="1" x14ac:dyDescent="0.25">
      <c r="A377" s="232">
        <f t="shared" si="71"/>
        <v>37.420527121609801</v>
      </c>
      <c r="B377" s="267">
        <f t="shared" si="72"/>
        <v>2.3779031319999993</v>
      </c>
      <c r="C377" s="267">
        <f t="shared" si="73"/>
        <v>0.45464511454336909</v>
      </c>
      <c r="D377" s="267">
        <f t="shared" si="60"/>
        <v>7.4087046449416789</v>
      </c>
      <c r="E377" s="148">
        <f t="shared" si="66"/>
        <v>-88.982388643566864</v>
      </c>
      <c r="F377" s="148">
        <f t="shared" si="67"/>
        <v>17.013059839477538</v>
      </c>
      <c r="G377" s="267">
        <v>0</v>
      </c>
      <c r="H377" s="267"/>
      <c r="I377" s="267">
        <f t="shared" si="68"/>
        <v>9.4436242369730403E-2</v>
      </c>
      <c r="J377" s="267">
        <f t="shared" si="69"/>
        <v>37.420527121609801</v>
      </c>
      <c r="K377" s="268">
        <f t="shared" si="75"/>
        <v>-8.260994124943577E-2</v>
      </c>
      <c r="L377" s="269">
        <f t="shared" si="70"/>
        <v>-1.4836382542221846</v>
      </c>
      <c r="M377" s="172">
        <f t="shared" si="57"/>
        <v>-14039.996025006985</v>
      </c>
      <c r="N377" s="139"/>
      <c r="O377" s="139"/>
      <c r="P377" s="139"/>
      <c r="Q377" s="139"/>
      <c r="R377" s="138"/>
      <c r="S377" s="137"/>
      <c r="T377" s="137"/>
      <c r="U377" s="137"/>
    </row>
    <row r="378" spans="1:21" s="89" customFormat="1" x14ac:dyDescent="0.25">
      <c r="A378" s="232">
        <f t="shared" si="71"/>
        <v>37.420527121609801</v>
      </c>
      <c r="B378" s="267">
        <f t="shared" si="72"/>
        <v>2.3779031319999993</v>
      </c>
      <c r="C378" s="267">
        <f t="shared" si="73"/>
        <v>0.45464511454336909</v>
      </c>
      <c r="D378" s="267">
        <f t="shared" si="60"/>
        <v>7.4087046449416789</v>
      </c>
      <c r="E378" s="148">
        <f t="shared" si="66"/>
        <v>-88.982388643566864</v>
      </c>
      <c r="F378" s="148">
        <f t="shared" si="67"/>
        <v>17.013059839477538</v>
      </c>
      <c r="G378" s="267">
        <v>0</v>
      </c>
      <c r="H378" s="267"/>
      <c r="I378" s="267">
        <f t="shared" si="68"/>
        <v>9.4436242369730403E-2</v>
      </c>
      <c r="J378" s="267">
        <f t="shared" si="69"/>
        <v>37.420527121609801</v>
      </c>
      <c r="K378" s="268">
        <f t="shared" si="75"/>
        <v>-0.10377660791610244</v>
      </c>
      <c r="L378" s="269">
        <f t="shared" si="70"/>
        <v>-1.4836382542221846</v>
      </c>
      <c r="M378" s="172">
        <f t="shared" si="57"/>
        <v>-17549.072242453076</v>
      </c>
      <c r="N378" s="139"/>
      <c r="O378" s="139"/>
      <c r="P378" s="139"/>
      <c r="Q378" s="139"/>
      <c r="R378" s="138"/>
      <c r="S378" s="137"/>
      <c r="T378" s="137"/>
      <c r="U378" s="137"/>
    </row>
    <row r="379" spans="1:21" s="89" customFormat="1" x14ac:dyDescent="0.25">
      <c r="A379" s="232">
        <f t="shared" si="71"/>
        <v>37.420527121609801</v>
      </c>
      <c r="B379" s="267">
        <f t="shared" si="72"/>
        <v>2.3779031319999993</v>
      </c>
      <c r="C379" s="267">
        <f t="shared" si="73"/>
        <v>0.45464511454336909</v>
      </c>
      <c r="D379" s="267">
        <f t="shared" si="60"/>
        <v>7.4087046449416789</v>
      </c>
      <c r="E379" s="148">
        <f t="shared" si="66"/>
        <v>-88.982388643566864</v>
      </c>
      <c r="F379" s="148">
        <f t="shared" si="67"/>
        <v>17.013059839477538</v>
      </c>
      <c r="G379" s="267">
        <v>0</v>
      </c>
      <c r="H379" s="267"/>
      <c r="I379" s="267">
        <f t="shared" si="68"/>
        <v>9.4436242369730403E-2</v>
      </c>
      <c r="J379" s="267">
        <f t="shared" si="69"/>
        <v>37.420527121609801</v>
      </c>
      <c r="K379" s="268">
        <f t="shared" si="75"/>
        <v>-0.1249432745827691</v>
      </c>
      <c r="L379" s="269">
        <f t="shared" si="70"/>
        <v>-1.4836382542221846</v>
      </c>
      <c r="M379" s="172">
        <f t="shared" si="57"/>
        <v>-21058.148459899166</v>
      </c>
      <c r="N379" s="139"/>
      <c r="O379" s="266"/>
      <c r="P379" s="265"/>
      <c r="Q379" s="139"/>
      <c r="R379" s="138"/>
      <c r="S379" s="137"/>
      <c r="T379" s="137"/>
      <c r="U379" s="137"/>
    </row>
    <row r="380" spans="1:21" s="89" customFormat="1" x14ac:dyDescent="0.25">
      <c r="A380" s="291">
        <f t="shared" si="71"/>
        <v>37.420527121609801</v>
      </c>
      <c r="B380" s="292">
        <f t="shared" si="72"/>
        <v>2.3779031319999993</v>
      </c>
      <c r="C380" s="292">
        <f t="shared" si="73"/>
        <v>0.45464511454336909</v>
      </c>
      <c r="D380" s="292">
        <f t="shared" si="60"/>
        <v>7.4087046449416789</v>
      </c>
      <c r="E380" s="293">
        <f t="shared" si="66"/>
        <v>-88.982388643566864</v>
      </c>
      <c r="F380" s="293">
        <f t="shared" si="67"/>
        <v>17.013059839477538</v>
      </c>
      <c r="G380" s="292">
        <v>0</v>
      </c>
      <c r="H380" s="292"/>
      <c r="I380" s="292">
        <f t="shared" si="68"/>
        <v>9.4436242369730403E-2</v>
      </c>
      <c r="J380" s="292">
        <f t="shared" si="69"/>
        <v>37.420527121609801</v>
      </c>
      <c r="K380" s="294">
        <f>MAX($E$116:$E$148)-$H$650</f>
        <v>0.76351295580388012</v>
      </c>
      <c r="L380" s="295">
        <f t="shared" ref="L380:L387" si="76">INDEX($D$116:$E$148,MATCH(MAX($E$116:$E$148),$E$116:$E$148,0),1)-$H$648</f>
        <v>-1.0320259497602429</v>
      </c>
      <c r="M380" s="296">
        <f t="shared" ref="M380:M396" si="77">-K380*$E$569*(E380*$P$330+F380*$P$332)/($P$333)+L380*$E$569*(F380*$P$331+E380*$P$332)/($P$333)</f>
        <v>17.886675054157521</v>
      </c>
      <c r="N380" s="139"/>
      <c r="O380" s="266"/>
      <c r="P380" s="265"/>
      <c r="Q380" s="139"/>
      <c r="R380" s="138"/>
      <c r="S380" s="137"/>
      <c r="T380" s="137"/>
      <c r="U380" s="137"/>
    </row>
    <row r="381" spans="1:21" s="89" customFormat="1" x14ac:dyDescent="0.25">
      <c r="A381" s="297">
        <f t="shared" si="71"/>
        <v>37.420527121609801</v>
      </c>
      <c r="B381" s="298">
        <f t="shared" si="72"/>
        <v>2.3779031319999993</v>
      </c>
      <c r="C381" s="298">
        <f t="shared" si="73"/>
        <v>0.45464511454336909</v>
      </c>
      <c r="D381" s="298">
        <f t="shared" si="60"/>
        <v>7.4087046449416789</v>
      </c>
      <c r="E381" s="290">
        <f t="shared" si="66"/>
        <v>-88.982388643566864</v>
      </c>
      <c r="F381" s="290">
        <f t="shared" si="67"/>
        <v>17.013059839477538</v>
      </c>
      <c r="G381" s="298">
        <v>0</v>
      </c>
      <c r="H381" s="298"/>
      <c r="I381" s="298">
        <f t="shared" si="68"/>
        <v>9.4436242369730403E-2</v>
      </c>
      <c r="J381" s="298">
        <f t="shared" si="69"/>
        <v>37.420527121609801</v>
      </c>
      <c r="K381" s="299">
        <f>K380-$K$380/10</f>
        <v>0.68716166022349212</v>
      </c>
      <c r="L381" s="300">
        <f t="shared" si="76"/>
        <v>-1.0320259497602429</v>
      </c>
      <c r="M381" s="301">
        <f t="shared" si="77"/>
        <v>16.094613237595826</v>
      </c>
      <c r="N381" s="139"/>
      <c r="O381" s="266"/>
      <c r="P381" s="265"/>
      <c r="Q381" s="139"/>
      <c r="R381" s="138"/>
      <c r="S381" s="137"/>
      <c r="T381" s="137"/>
      <c r="U381" s="137"/>
    </row>
    <row r="382" spans="1:21" s="89" customFormat="1" x14ac:dyDescent="0.25">
      <c r="A382" s="297">
        <f t="shared" si="71"/>
        <v>37.420527121609801</v>
      </c>
      <c r="B382" s="298">
        <f t="shared" si="72"/>
        <v>2.3779031319999993</v>
      </c>
      <c r="C382" s="298">
        <f t="shared" si="73"/>
        <v>0.45464511454336909</v>
      </c>
      <c r="D382" s="298">
        <f t="shared" si="60"/>
        <v>7.4087046449416789</v>
      </c>
      <c r="E382" s="290">
        <f t="shared" si="66"/>
        <v>-88.982388643566864</v>
      </c>
      <c r="F382" s="290">
        <f t="shared" si="67"/>
        <v>17.013059839477538</v>
      </c>
      <c r="G382" s="298">
        <v>0</v>
      </c>
      <c r="H382" s="298"/>
      <c r="I382" s="298">
        <f t="shared" si="68"/>
        <v>9.4436242369730403E-2</v>
      </c>
      <c r="J382" s="298">
        <f t="shared" si="69"/>
        <v>37.420527121609801</v>
      </c>
      <c r="K382" s="299">
        <f t="shared" ref="K382:K387" si="78">K381-$K$380/10</f>
        <v>0.61081036464310412</v>
      </c>
      <c r="L382" s="300">
        <f t="shared" si="76"/>
        <v>-1.0320259497602429</v>
      </c>
      <c r="M382" s="301">
        <f t="shared" si="77"/>
        <v>14.302551421034133</v>
      </c>
      <c r="N382" s="139"/>
      <c r="O382" s="266"/>
      <c r="P382" s="265"/>
      <c r="Q382" s="139"/>
      <c r="R382" s="138"/>
      <c r="S382" s="137"/>
      <c r="T382" s="137"/>
      <c r="U382" s="137"/>
    </row>
    <row r="383" spans="1:21" s="89" customFormat="1" x14ac:dyDescent="0.25">
      <c r="A383" s="297">
        <f t="shared" si="71"/>
        <v>37.420527121609801</v>
      </c>
      <c r="B383" s="298">
        <f t="shared" si="72"/>
        <v>2.3779031319999993</v>
      </c>
      <c r="C383" s="298">
        <f t="shared" si="73"/>
        <v>0.45464511454336909</v>
      </c>
      <c r="D383" s="298">
        <f t="shared" si="60"/>
        <v>7.4087046449416789</v>
      </c>
      <c r="E383" s="290">
        <f t="shared" si="66"/>
        <v>-88.982388643566864</v>
      </c>
      <c r="F383" s="290">
        <f t="shared" si="67"/>
        <v>17.013059839477538</v>
      </c>
      <c r="G383" s="298">
        <v>0</v>
      </c>
      <c r="H383" s="298"/>
      <c r="I383" s="298">
        <f t="shared" si="68"/>
        <v>9.4436242369730403E-2</v>
      </c>
      <c r="J383" s="298">
        <f t="shared" si="69"/>
        <v>37.420527121609801</v>
      </c>
      <c r="K383" s="299">
        <f t="shared" si="78"/>
        <v>0.53445906906271612</v>
      </c>
      <c r="L383" s="300">
        <f t="shared" si="76"/>
        <v>-1.0320259497602429</v>
      </c>
      <c r="M383" s="301">
        <f t="shared" si="77"/>
        <v>12.51048960447244</v>
      </c>
      <c r="N383" s="139"/>
      <c r="O383" s="266"/>
      <c r="P383" s="265"/>
      <c r="Q383" s="139"/>
      <c r="R383" s="138"/>
      <c r="S383" s="137"/>
      <c r="T383" s="137"/>
      <c r="U383" s="137"/>
    </row>
    <row r="384" spans="1:21" s="89" customFormat="1" x14ac:dyDescent="0.25">
      <c r="A384" s="297">
        <f t="shared" si="71"/>
        <v>37.420527121609801</v>
      </c>
      <c r="B384" s="298">
        <f t="shared" si="72"/>
        <v>2.3779031319999993</v>
      </c>
      <c r="C384" s="298">
        <f t="shared" si="73"/>
        <v>0.45464511454336909</v>
      </c>
      <c r="D384" s="298">
        <f t="shared" si="60"/>
        <v>7.4087046449416789</v>
      </c>
      <c r="E384" s="290">
        <f t="shared" si="66"/>
        <v>-88.982388643566864</v>
      </c>
      <c r="F384" s="290">
        <f t="shared" si="67"/>
        <v>17.013059839477538</v>
      </c>
      <c r="G384" s="298">
        <v>0</v>
      </c>
      <c r="H384" s="298"/>
      <c r="I384" s="298">
        <f t="shared" si="68"/>
        <v>9.4436242369730403E-2</v>
      </c>
      <c r="J384" s="298">
        <f t="shared" si="69"/>
        <v>37.420527121609801</v>
      </c>
      <c r="K384" s="299">
        <f t="shared" si="78"/>
        <v>0.45810777348232812</v>
      </c>
      <c r="L384" s="300">
        <f t="shared" si="76"/>
        <v>-1.0320259497602429</v>
      </c>
      <c r="M384" s="301">
        <f t="shared" si="77"/>
        <v>10.718427787910747</v>
      </c>
      <c r="N384" s="139"/>
      <c r="O384" s="266"/>
      <c r="P384" s="265"/>
      <c r="Q384" s="139"/>
      <c r="R384" s="138"/>
      <c r="S384" s="137"/>
      <c r="T384" s="137"/>
      <c r="U384" s="137"/>
    </row>
    <row r="385" spans="1:21" s="89" customFormat="1" x14ac:dyDescent="0.25">
      <c r="A385" s="297">
        <f t="shared" si="71"/>
        <v>37.420527121609801</v>
      </c>
      <c r="B385" s="298">
        <f t="shared" si="72"/>
        <v>2.3779031319999993</v>
      </c>
      <c r="C385" s="298">
        <f t="shared" si="73"/>
        <v>0.45464511454336909</v>
      </c>
      <c r="D385" s="298">
        <f t="shared" si="60"/>
        <v>7.4087046449416789</v>
      </c>
      <c r="E385" s="290">
        <f t="shared" si="66"/>
        <v>-88.982388643566864</v>
      </c>
      <c r="F385" s="290">
        <f t="shared" si="67"/>
        <v>17.013059839477538</v>
      </c>
      <c r="G385" s="298">
        <v>0</v>
      </c>
      <c r="H385" s="298"/>
      <c r="I385" s="298">
        <f t="shared" si="68"/>
        <v>9.4436242369730403E-2</v>
      </c>
      <c r="J385" s="298">
        <f t="shared" si="69"/>
        <v>37.420527121609801</v>
      </c>
      <c r="K385" s="299">
        <f t="shared" si="78"/>
        <v>0.38175647790194012</v>
      </c>
      <c r="L385" s="300">
        <f t="shared" si="76"/>
        <v>-1.0320259497602429</v>
      </c>
      <c r="M385" s="301">
        <f t="shared" si="77"/>
        <v>8.9263659713490515</v>
      </c>
      <c r="N385" s="139"/>
      <c r="O385" s="266"/>
      <c r="P385" s="265"/>
      <c r="Q385" s="139"/>
      <c r="R385" s="138"/>
      <c r="S385" s="137"/>
      <c r="T385" s="137"/>
      <c r="U385" s="137"/>
    </row>
    <row r="386" spans="1:21" s="89" customFormat="1" x14ac:dyDescent="0.25">
      <c r="A386" s="297">
        <f t="shared" si="71"/>
        <v>37.420527121609801</v>
      </c>
      <c r="B386" s="298">
        <f t="shared" si="72"/>
        <v>2.3779031319999993</v>
      </c>
      <c r="C386" s="298">
        <f t="shared" si="73"/>
        <v>0.45464511454336909</v>
      </c>
      <c r="D386" s="298">
        <f t="shared" si="60"/>
        <v>7.4087046449416789</v>
      </c>
      <c r="E386" s="290">
        <f t="shared" si="66"/>
        <v>-88.982388643566864</v>
      </c>
      <c r="F386" s="290">
        <f t="shared" si="67"/>
        <v>17.013059839477538</v>
      </c>
      <c r="G386" s="298">
        <v>0</v>
      </c>
      <c r="H386" s="298"/>
      <c r="I386" s="298">
        <f t="shared" si="68"/>
        <v>9.4436242369730403E-2</v>
      </c>
      <c r="J386" s="298">
        <f t="shared" si="69"/>
        <v>37.420527121609801</v>
      </c>
      <c r="K386" s="299">
        <f t="shared" si="78"/>
        <v>0.30540518232155212</v>
      </c>
      <c r="L386" s="300">
        <f t="shared" si="76"/>
        <v>-1.0320259497602429</v>
      </c>
      <c r="M386" s="301">
        <f t="shared" si="77"/>
        <v>7.13430415478736</v>
      </c>
      <c r="N386" s="139"/>
      <c r="O386" s="266"/>
      <c r="P386" s="265"/>
      <c r="Q386" s="139"/>
      <c r="R386" s="138"/>
      <c r="S386" s="137"/>
      <c r="T386" s="137"/>
      <c r="U386" s="137"/>
    </row>
    <row r="387" spans="1:21" s="89" customFormat="1" x14ac:dyDescent="0.25">
      <c r="A387" s="302">
        <f t="shared" si="71"/>
        <v>37.420527121609801</v>
      </c>
      <c r="B387" s="303">
        <f t="shared" si="72"/>
        <v>2.3779031319999993</v>
      </c>
      <c r="C387" s="303">
        <f t="shared" si="73"/>
        <v>0.45464511454336909</v>
      </c>
      <c r="D387" s="303">
        <f t="shared" si="60"/>
        <v>7.4087046449416789</v>
      </c>
      <c r="E387" s="304">
        <f t="shared" si="66"/>
        <v>-88.982388643566864</v>
      </c>
      <c r="F387" s="304">
        <f t="shared" si="67"/>
        <v>17.013059839477538</v>
      </c>
      <c r="G387" s="303">
        <v>0</v>
      </c>
      <c r="H387" s="303"/>
      <c r="I387" s="303">
        <f t="shared" si="68"/>
        <v>9.4436242369730403E-2</v>
      </c>
      <c r="J387" s="303">
        <f t="shared" si="69"/>
        <v>37.420527121609801</v>
      </c>
      <c r="K387" s="305">
        <f t="shared" si="78"/>
        <v>0.22905388674116411</v>
      </c>
      <c r="L387" s="306">
        <f t="shared" si="76"/>
        <v>-1.0320259497602429</v>
      </c>
      <c r="M387" s="307">
        <f t="shared" si="77"/>
        <v>5.3422423382256659</v>
      </c>
      <c r="N387" s="139"/>
      <c r="O387" s="266"/>
      <c r="P387" s="265"/>
      <c r="Q387" s="139"/>
      <c r="R387" s="138"/>
      <c r="S387" s="137"/>
      <c r="T387" s="137"/>
      <c r="U387" s="137"/>
    </row>
    <row r="388" spans="1:21" s="89" customFormat="1" x14ac:dyDescent="0.25">
      <c r="A388" s="308">
        <f t="shared" si="71"/>
        <v>37.420527121609801</v>
      </c>
      <c r="B388" s="309">
        <f t="shared" si="72"/>
        <v>2.3779031319999993</v>
      </c>
      <c r="C388" s="309">
        <f t="shared" si="73"/>
        <v>0.45464511454336909</v>
      </c>
      <c r="D388" s="309">
        <f t="shared" si="60"/>
        <v>7.4087046449416789</v>
      </c>
      <c r="E388" s="310">
        <f t="shared" si="66"/>
        <v>-88.982388643566864</v>
      </c>
      <c r="F388" s="310">
        <f t="shared" si="67"/>
        <v>17.013059839477538</v>
      </c>
      <c r="G388" s="309">
        <v>0</v>
      </c>
      <c r="H388" s="309"/>
      <c r="I388" s="309">
        <f t="shared" si="68"/>
        <v>9.4436242369730403E-2</v>
      </c>
      <c r="J388" s="309">
        <f t="shared" si="69"/>
        <v>37.420527121609801</v>
      </c>
      <c r="K388" s="311">
        <v>0</v>
      </c>
      <c r="L388" s="312">
        <v>0</v>
      </c>
      <c r="M388" s="313">
        <f t="shared" si="77"/>
        <v>0</v>
      </c>
      <c r="N388" s="139"/>
      <c r="O388" s="266"/>
      <c r="P388" s="265"/>
      <c r="Q388" s="139"/>
      <c r="R388" s="138"/>
      <c r="S388" s="137"/>
      <c r="T388" s="137"/>
      <c r="U388" s="137"/>
    </row>
    <row r="389" spans="1:21" s="89" customFormat="1" x14ac:dyDescent="0.25">
      <c r="A389" s="297">
        <f t="shared" si="71"/>
        <v>37.420527121609801</v>
      </c>
      <c r="B389" s="298">
        <f t="shared" si="72"/>
        <v>2.3779031319999993</v>
      </c>
      <c r="C389" s="298">
        <f t="shared" si="73"/>
        <v>0.45464511454336909</v>
      </c>
      <c r="D389" s="298">
        <f t="shared" si="60"/>
        <v>7.4087046449416789</v>
      </c>
      <c r="E389" s="290">
        <f t="shared" si="66"/>
        <v>-88.982388643566864</v>
      </c>
      <c r="F389" s="290">
        <f t="shared" si="67"/>
        <v>17.013059839477538</v>
      </c>
      <c r="G389" s="298">
        <v>0</v>
      </c>
      <c r="H389" s="298"/>
      <c r="I389" s="298">
        <f t="shared" si="68"/>
        <v>9.4436242369730403E-2</v>
      </c>
      <c r="J389" s="298">
        <f t="shared" si="69"/>
        <v>37.420527121609801</v>
      </c>
      <c r="K389" s="299">
        <f t="shared" ref="K389:K394" si="79">K390-$K$396/7</f>
        <v>0</v>
      </c>
      <c r="L389" s="300">
        <f t="shared" ref="L389:L396" si="80">INDEX($M$116:$N$148,MATCH(MIN($N$116:$N$148),$N$116:$N$148,0),1)-$H$648</f>
        <v>-2.3037892929360955</v>
      </c>
      <c r="M389" s="301">
        <f t="shared" si="77"/>
        <v>-7.5771134211605876E-2</v>
      </c>
      <c r="N389" s="139"/>
      <c r="O389" s="266"/>
      <c r="P389" s="265"/>
      <c r="Q389" s="139"/>
      <c r="R389" s="138"/>
      <c r="S389" s="137"/>
      <c r="T389" s="137"/>
      <c r="U389" s="137"/>
    </row>
    <row r="390" spans="1:21" s="89" customFormat="1" x14ac:dyDescent="0.25">
      <c r="A390" s="297">
        <f t="shared" si="71"/>
        <v>37.420527121609801</v>
      </c>
      <c r="B390" s="298">
        <f t="shared" si="72"/>
        <v>2.3779031319999993</v>
      </c>
      <c r="C390" s="298">
        <f t="shared" si="73"/>
        <v>0.45464511454336909</v>
      </c>
      <c r="D390" s="298">
        <f t="shared" si="60"/>
        <v>7.4087046449416789</v>
      </c>
      <c r="E390" s="290">
        <f t="shared" si="66"/>
        <v>-88.982388643566864</v>
      </c>
      <c r="F390" s="290">
        <f t="shared" si="67"/>
        <v>17.013059839477538</v>
      </c>
      <c r="G390" s="298">
        <v>0</v>
      </c>
      <c r="H390" s="298"/>
      <c r="I390" s="298">
        <f t="shared" si="68"/>
        <v>9.4436242369730403E-2</v>
      </c>
      <c r="J390" s="298">
        <f t="shared" si="69"/>
        <v>37.420527121609801</v>
      </c>
      <c r="K390" s="299">
        <f t="shared" si="79"/>
        <v>-0.10929508009483868</v>
      </c>
      <c r="L390" s="300">
        <f t="shared" si="80"/>
        <v>-2.3037892929360955</v>
      </c>
      <c r="M390" s="301">
        <f t="shared" si="77"/>
        <v>-2.6410653874020253</v>
      </c>
      <c r="N390" s="139"/>
      <c r="O390" s="266"/>
      <c r="P390" s="265"/>
      <c r="Q390" s="139"/>
      <c r="R390" s="138"/>
      <c r="S390" s="137"/>
      <c r="T390" s="137"/>
      <c r="U390" s="137"/>
    </row>
    <row r="391" spans="1:21" s="89" customFormat="1" x14ac:dyDescent="0.25">
      <c r="A391" s="297">
        <f t="shared" si="71"/>
        <v>37.420527121609801</v>
      </c>
      <c r="B391" s="298">
        <f t="shared" si="72"/>
        <v>2.3779031319999993</v>
      </c>
      <c r="C391" s="298">
        <f t="shared" si="73"/>
        <v>0.45464511454336909</v>
      </c>
      <c r="D391" s="298">
        <f t="shared" si="60"/>
        <v>7.4087046449416789</v>
      </c>
      <c r="E391" s="290">
        <f t="shared" si="66"/>
        <v>-88.982388643566864</v>
      </c>
      <c r="F391" s="290">
        <f t="shared" si="67"/>
        <v>17.013059839477538</v>
      </c>
      <c r="G391" s="298">
        <v>0</v>
      </c>
      <c r="H391" s="298"/>
      <c r="I391" s="298">
        <f t="shared" si="68"/>
        <v>9.4436242369730403E-2</v>
      </c>
      <c r="J391" s="298">
        <f t="shared" si="69"/>
        <v>37.420527121609801</v>
      </c>
      <c r="K391" s="299">
        <f t="shared" si="79"/>
        <v>-0.21859016018967736</v>
      </c>
      <c r="L391" s="300">
        <f t="shared" si="80"/>
        <v>-2.3037892929360955</v>
      </c>
      <c r="M391" s="301">
        <f t="shared" si="77"/>
        <v>-5.2063596405924448</v>
      </c>
      <c r="N391" s="139"/>
      <c r="O391" s="266"/>
      <c r="P391" s="265"/>
      <c r="Q391" s="139"/>
      <c r="R391" s="138"/>
      <c r="S391" s="137"/>
      <c r="T391" s="137"/>
      <c r="U391" s="137"/>
    </row>
    <row r="392" spans="1:21" s="89" customFormat="1" x14ac:dyDescent="0.25">
      <c r="A392" s="297">
        <f t="shared" si="71"/>
        <v>37.420527121609801</v>
      </c>
      <c r="B392" s="298">
        <f t="shared" si="72"/>
        <v>2.3779031319999993</v>
      </c>
      <c r="C392" s="298">
        <f t="shared" si="73"/>
        <v>0.45464511454336909</v>
      </c>
      <c r="D392" s="298">
        <f t="shared" si="60"/>
        <v>7.4087046449416789</v>
      </c>
      <c r="E392" s="290">
        <f t="shared" si="66"/>
        <v>-88.982388643566864</v>
      </c>
      <c r="F392" s="290">
        <f t="shared" si="67"/>
        <v>17.013059839477538</v>
      </c>
      <c r="G392" s="298">
        <v>0</v>
      </c>
      <c r="H392" s="298"/>
      <c r="I392" s="298">
        <f t="shared" si="68"/>
        <v>9.4436242369730403E-2</v>
      </c>
      <c r="J392" s="298">
        <f t="shared" si="69"/>
        <v>37.420527121609801</v>
      </c>
      <c r="K392" s="299">
        <f t="shared" si="79"/>
        <v>-0.32788524028451604</v>
      </c>
      <c r="L392" s="300">
        <f t="shared" si="80"/>
        <v>-2.3037892929360955</v>
      </c>
      <c r="M392" s="301">
        <f t="shared" si="77"/>
        <v>-7.7716538937828652</v>
      </c>
      <c r="N392" s="139"/>
      <c r="O392" s="266"/>
      <c r="P392" s="265"/>
      <c r="Q392" s="139"/>
      <c r="R392" s="138"/>
      <c r="S392" s="137"/>
      <c r="T392" s="137"/>
      <c r="U392" s="137"/>
    </row>
    <row r="393" spans="1:21" s="89" customFormat="1" x14ac:dyDescent="0.25">
      <c r="A393" s="297">
        <f t="shared" si="71"/>
        <v>37.420527121609801</v>
      </c>
      <c r="B393" s="298">
        <f t="shared" si="72"/>
        <v>2.3779031319999993</v>
      </c>
      <c r="C393" s="298">
        <f t="shared" si="73"/>
        <v>0.45464511454336909</v>
      </c>
      <c r="D393" s="298">
        <f t="shared" si="60"/>
        <v>7.4087046449416789</v>
      </c>
      <c r="E393" s="290">
        <f t="shared" si="66"/>
        <v>-88.982388643566864</v>
      </c>
      <c r="F393" s="290">
        <f t="shared" si="67"/>
        <v>17.013059839477538</v>
      </c>
      <c r="G393" s="298">
        <v>0</v>
      </c>
      <c r="H393" s="298"/>
      <c r="I393" s="298">
        <f t="shared" si="68"/>
        <v>9.4436242369730403E-2</v>
      </c>
      <c r="J393" s="298">
        <f t="shared" si="69"/>
        <v>37.420527121609801</v>
      </c>
      <c r="K393" s="299">
        <f t="shared" si="79"/>
        <v>-0.43718032037935473</v>
      </c>
      <c r="L393" s="300">
        <f t="shared" si="80"/>
        <v>-2.3037892929360955</v>
      </c>
      <c r="M393" s="301">
        <f t="shared" si="77"/>
        <v>-10.336948146973285</v>
      </c>
      <c r="N393" s="139"/>
      <c r="O393" s="266"/>
      <c r="P393" s="265"/>
      <c r="Q393" s="139"/>
      <c r="R393" s="138"/>
      <c r="S393" s="137"/>
      <c r="T393" s="137"/>
      <c r="U393" s="137"/>
    </row>
    <row r="394" spans="1:21" s="89" customFormat="1" x14ac:dyDescent="0.25">
      <c r="A394" s="297">
        <f t="shared" si="71"/>
        <v>37.420527121609801</v>
      </c>
      <c r="B394" s="298">
        <f t="shared" si="72"/>
        <v>2.3779031319999993</v>
      </c>
      <c r="C394" s="298">
        <f t="shared" si="73"/>
        <v>0.45464511454336909</v>
      </c>
      <c r="D394" s="298">
        <f t="shared" si="60"/>
        <v>7.4087046449416789</v>
      </c>
      <c r="E394" s="290">
        <f t="shared" si="66"/>
        <v>-88.982388643566864</v>
      </c>
      <c r="F394" s="290">
        <f t="shared" si="67"/>
        <v>17.013059839477538</v>
      </c>
      <c r="G394" s="298">
        <v>0</v>
      </c>
      <c r="H394" s="298"/>
      <c r="I394" s="298">
        <f t="shared" si="68"/>
        <v>9.4436242369730403E-2</v>
      </c>
      <c r="J394" s="298">
        <f t="shared" si="69"/>
        <v>37.420527121609801</v>
      </c>
      <c r="K394" s="299">
        <f t="shared" si="79"/>
        <v>-0.54647540047419341</v>
      </c>
      <c r="L394" s="300">
        <f t="shared" si="80"/>
        <v>-2.3037892929360955</v>
      </c>
      <c r="M394" s="301">
        <f t="shared" si="77"/>
        <v>-12.902242400163704</v>
      </c>
      <c r="N394" s="139"/>
      <c r="O394" s="266"/>
      <c r="P394" s="265"/>
      <c r="Q394" s="139"/>
      <c r="R394" s="138"/>
      <c r="S394" s="137"/>
      <c r="T394" s="137"/>
      <c r="U394" s="137"/>
    </row>
    <row r="395" spans="1:21" s="89" customFormat="1" x14ac:dyDescent="0.25">
      <c r="A395" s="297">
        <f t="shared" si="71"/>
        <v>37.420527121609801</v>
      </c>
      <c r="B395" s="298">
        <f t="shared" si="72"/>
        <v>2.3779031319999993</v>
      </c>
      <c r="C395" s="298">
        <f t="shared" si="73"/>
        <v>0.45464511454336909</v>
      </c>
      <c r="D395" s="298">
        <f t="shared" si="60"/>
        <v>7.4087046449416789</v>
      </c>
      <c r="E395" s="290">
        <f t="shared" si="66"/>
        <v>-88.982388643566864</v>
      </c>
      <c r="F395" s="290">
        <f t="shared" si="67"/>
        <v>17.013059839477538</v>
      </c>
      <c r="G395" s="298">
        <v>0</v>
      </c>
      <c r="H395" s="298"/>
      <c r="I395" s="298">
        <f t="shared" si="68"/>
        <v>9.4436242369730403E-2</v>
      </c>
      <c r="J395" s="298">
        <f t="shared" si="69"/>
        <v>37.420527121609801</v>
      </c>
      <c r="K395" s="299">
        <f>K396-$K$396/7</f>
        <v>-0.65577048056903209</v>
      </c>
      <c r="L395" s="300">
        <f t="shared" si="80"/>
        <v>-2.3037892929360955</v>
      </c>
      <c r="M395" s="301">
        <f t="shared" si="77"/>
        <v>-15.467536653354125</v>
      </c>
      <c r="N395" s="139"/>
      <c r="O395" s="266"/>
      <c r="P395" s="265"/>
      <c r="Q395" s="139"/>
      <c r="R395" s="138"/>
      <c r="S395" s="137"/>
      <c r="T395" s="137"/>
      <c r="U395" s="137"/>
    </row>
    <row r="396" spans="1:21" s="89" customFormat="1" x14ac:dyDescent="0.25">
      <c r="A396" s="302">
        <f t="shared" si="71"/>
        <v>37.420527121609801</v>
      </c>
      <c r="B396" s="303">
        <f t="shared" si="72"/>
        <v>2.3779031319999993</v>
      </c>
      <c r="C396" s="303">
        <f t="shared" si="73"/>
        <v>0.45464511454336909</v>
      </c>
      <c r="D396" s="303">
        <f t="shared" si="60"/>
        <v>7.4087046449416789</v>
      </c>
      <c r="E396" s="304">
        <f t="shared" si="66"/>
        <v>-88.982388643566864</v>
      </c>
      <c r="F396" s="304">
        <f t="shared" si="67"/>
        <v>17.013059839477538</v>
      </c>
      <c r="G396" s="303">
        <v>0</v>
      </c>
      <c r="H396" s="303"/>
      <c r="I396" s="303">
        <f t="shared" si="68"/>
        <v>9.4436242369730403E-2</v>
      </c>
      <c r="J396" s="303">
        <f t="shared" si="69"/>
        <v>37.420527121609801</v>
      </c>
      <c r="K396" s="305">
        <f>MIN($N$116:$N$148)-$H$650</f>
        <v>-0.76506556066387077</v>
      </c>
      <c r="L396" s="306">
        <f t="shared" si="80"/>
        <v>-2.3037892929360955</v>
      </c>
      <c r="M396" s="307">
        <f t="shared" si="77"/>
        <v>-18.032830906544543</v>
      </c>
      <c r="N396" s="139"/>
      <c r="O396" s="266"/>
      <c r="P396" s="265"/>
      <c r="Q396" s="139"/>
      <c r="R396" s="138"/>
      <c r="S396" s="137"/>
      <c r="T396" s="137"/>
      <c r="U396" s="137"/>
    </row>
    <row r="397" spans="1:21" s="89" customFormat="1" x14ac:dyDescent="0.25">
      <c r="A397" s="73"/>
      <c r="B397" s="73"/>
      <c r="C397" s="73"/>
      <c r="D397" s="73"/>
      <c r="E397" s="136"/>
      <c r="F397" s="136"/>
      <c r="G397" s="239"/>
      <c r="H397" s="239"/>
      <c r="I397" s="239"/>
      <c r="J397" s="239"/>
      <c r="K397" s="240"/>
      <c r="L397" s="241"/>
      <c r="M397" s="42"/>
      <c r="N397" s="139"/>
      <c r="O397" s="139"/>
      <c r="P397" s="139"/>
      <c r="Q397" s="139"/>
      <c r="R397" s="138"/>
      <c r="S397" s="137"/>
      <c r="T397" s="137"/>
      <c r="U397" s="137"/>
    </row>
    <row r="398" spans="1:21" s="89" customFormat="1" x14ac:dyDescent="0.25">
      <c r="A398" s="73" t="s">
        <v>2101</v>
      </c>
      <c r="B398" s="73" t="s">
        <v>2080</v>
      </c>
      <c r="C398" s="73"/>
      <c r="D398" s="73"/>
      <c r="E398" s="136"/>
      <c r="F398" s="136" t="s">
        <v>2086</v>
      </c>
      <c r="G398" s="239" t="s">
        <v>2087</v>
      </c>
      <c r="H398" s="239"/>
      <c r="I398" s="239"/>
      <c r="J398" s="136" t="s">
        <v>2086</v>
      </c>
      <c r="K398" s="239" t="s">
        <v>2285</v>
      </c>
      <c r="L398" s="241"/>
      <c r="M398" s="42"/>
      <c r="N398" s="139"/>
      <c r="O398" s="139"/>
      <c r="P398" s="139"/>
      <c r="Q398" s="139"/>
      <c r="R398" s="138"/>
      <c r="S398" s="137"/>
      <c r="T398" s="137"/>
      <c r="U398" s="137"/>
    </row>
    <row r="399" spans="1:21" s="89" customFormat="1" x14ac:dyDescent="0.25">
      <c r="A399" s="73"/>
      <c r="B399" s="73">
        <f>(N202*10^3)/MAX(M366:M379)</f>
        <v>11.876052312066818</v>
      </c>
      <c r="C399" s="73" t="s">
        <v>2081</v>
      </c>
      <c r="D399" s="73" t="str">
        <f>S220</f>
        <v>2.5 g loads</v>
      </c>
      <c r="E399" s="136"/>
      <c r="F399" s="136">
        <f>C183/MAX(M380:M396)</f>
        <v>2.2363015976355274</v>
      </c>
      <c r="G399" s="239" t="s">
        <v>2081</v>
      </c>
      <c r="H399" s="239" t="str">
        <f>S220</f>
        <v>2.5 g loads</v>
      </c>
      <c r="I399" s="239"/>
      <c r="J399" s="239">
        <f>ABS(C189/MIN(M380:M396))</f>
        <v>2.4953565338614392</v>
      </c>
      <c r="K399" s="240"/>
      <c r="L399" s="241"/>
      <c r="M399" s="42"/>
      <c r="N399" s="139"/>
      <c r="O399" s="139"/>
      <c r="P399" s="139"/>
      <c r="Q399" s="139"/>
      <c r="R399" s="138"/>
      <c r="S399" s="137"/>
      <c r="T399" s="137"/>
      <c r="U399" s="137"/>
    </row>
    <row r="400" spans="1:21" s="89" customFormat="1" x14ac:dyDescent="0.25">
      <c r="A400" s="73"/>
      <c r="B400" s="73"/>
      <c r="C400" s="73"/>
      <c r="D400" s="73"/>
      <c r="E400" s="136"/>
      <c r="F400" s="136"/>
      <c r="G400" s="239"/>
      <c r="H400" s="239"/>
      <c r="I400" s="239"/>
      <c r="J400" s="239"/>
      <c r="K400" s="240"/>
      <c r="L400" s="241"/>
      <c r="M400" s="42"/>
      <c r="N400" s="139"/>
      <c r="O400" s="139"/>
      <c r="P400" s="139"/>
      <c r="Q400" s="139"/>
      <c r="R400" s="138"/>
      <c r="S400" s="137"/>
      <c r="T400" s="137"/>
      <c r="U400" s="137"/>
    </row>
    <row r="401" spans="1:21" s="89" customFormat="1" x14ac:dyDescent="0.25">
      <c r="A401" s="73"/>
      <c r="B401" s="73"/>
      <c r="C401" s="73"/>
      <c r="D401" s="73"/>
      <c r="E401" s="136"/>
      <c r="F401" s="136"/>
      <c r="G401" s="239"/>
      <c r="H401" s="239"/>
      <c r="I401" s="239"/>
      <c r="J401" s="239"/>
      <c r="K401" s="240"/>
      <c r="L401" s="241"/>
      <c r="M401" s="42"/>
      <c r="N401" s="139"/>
      <c r="O401" s="139"/>
      <c r="P401" s="139"/>
      <c r="Q401" s="139"/>
      <c r="R401" s="138"/>
      <c r="S401" s="137"/>
      <c r="T401" s="137"/>
      <c r="U401" s="137"/>
    </row>
    <row r="402" spans="1:21" s="89" customFormat="1" ht="15.75" thickBot="1" x14ac:dyDescent="0.3">
      <c r="A402" s="140"/>
      <c r="B402" s="19"/>
      <c r="C402" s="19"/>
      <c r="D402" s="139"/>
      <c r="E402" s="139"/>
      <c r="M402" s="139"/>
      <c r="N402" s="139"/>
      <c r="O402" s="139"/>
      <c r="P402" s="139"/>
      <c r="Q402" s="139"/>
      <c r="R402" s="138"/>
      <c r="S402" s="137"/>
      <c r="T402" s="137"/>
      <c r="U402" s="137"/>
    </row>
    <row r="403" spans="1:21" s="193" customFormat="1" x14ac:dyDescent="0.25">
      <c r="A403" s="179" t="s">
        <v>1907</v>
      </c>
      <c r="B403" s="180"/>
      <c r="C403" s="180"/>
      <c r="D403" s="180"/>
      <c r="E403" s="237"/>
      <c r="M403" s="199"/>
      <c r="N403" s="199"/>
      <c r="O403" s="199"/>
      <c r="P403" s="199"/>
      <c r="Q403" s="199"/>
      <c r="R403" s="200"/>
      <c r="S403" s="201"/>
      <c r="T403" s="201"/>
      <c r="U403" s="201"/>
    </row>
    <row r="404" spans="1:21" s="89" customFormat="1" x14ac:dyDescent="0.25">
      <c r="A404" t="str">
        <f>H547</f>
        <v>Ai</v>
      </c>
      <c r="B404" s="90">
        <f>H548</f>
        <v>3.1064068158695876E-2</v>
      </c>
      <c r="C404"/>
      <c r="D404" s="136"/>
      <c r="E404" s="136"/>
      <c r="M404" s="139"/>
      <c r="N404" s="139"/>
      <c r="O404" s="139"/>
      <c r="P404" s="139"/>
      <c r="Q404" s="139"/>
      <c r="R404" s="138"/>
      <c r="S404" s="137"/>
      <c r="T404" s="137"/>
      <c r="U404" s="137"/>
    </row>
    <row r="405" spans="1:21" s="89" customFormat="1" x14ac:dyDescent="0.25">
      <c r="A405" t="s">
        <v>1906</v>
      </c>
      <c r="B405" s="73">
        <f>MIN(M366:M379)</f>
        <v>-21058.148459899166</v>
      </c>
      <c r="C405"/>
      <c r="D405" s="136"/>
      <c r="E405" s="136" t="s">
        <v>2104</v>
      </c>
      <c r="M405" s="139"/>
      <c r="N405" s="139"/>
      <c r="O405" s="139"/>
      <c r="P405" s="139"/>
      <c r="Q405" s="139"/>
      <c r="R405" s="138"/>
      <c r="S405" s="137"/>
      <c r="T405" s="137"/>
      <c r="U405" s="137"/>
    </row>
    <row r="406" spans="1:21" s="89" customFormat="1" x14ac:dyDescent="0.25">
      <c r="A406" t="s">
        <v>1905</v>
      </c>
      <c r="B406">
        <f>B404*B405</f>
        <v>-654.15175905424428</v>
      </c>
      <c r="C406" t="s">
        <v>1904</v>
      </c>
      <c r="D406" s="97">
        <f>SUM(M548)</f>
        <v>1.737258011775067E-4</v>
      </c>
      <c r="E406" s="97">
        <f>PI()*(AB123^4-AB124^4)/64</f>
        <v>1.737258011775067E-4</v>
      </c>
      <c r="M406" s="139"/>
      <c r="N406" s="139"/>
      <c r="O406" s="139"/>
      <c r="P406" s="139"/>
      <c r="Q406" s="139"/>
      <c r="R406" s="138"/>
      <c r="S406" s="137"/>
      <c r="T406" s="137"/>
      <c r="U406" s="137"/>
    </row>
    <row r="407" spans="1:21" s="89" customFormat="1" x14ac:dyDescent="0.25">
      <c r="A407" t="s">
        <v>2105</v>
      </c>
      <c r="B407">
        <f>SQRT(((PI()^2)*C548*D406/(4*ABS(B406))))</f>
        <v>3.5746217006140593</v>
      </c>
      <c r="C407"/>
      <c r="D407" s="136"/>
      <c r="E407" s="136"/>
      <c r="M407" s="139"/>
      <c r="N407" s="139"/>
      <c r="O407" s="139"/>
      <c r="P407" s="139"/>
      <c r="Q407" s="139"/>
      <c r="R407" s="138"/>
      <c r="S407" s="137"/>
      <c r="T407" s="137"/>
      <c r="U407" s="137"/>
    </row>
    <row r="408" spans="1:21" s="89" customFormat="1" x14ac:dyDescent="0.25">
      <c r="A408"/>
      <c r="B408" t="s">
        <v>1903</v>
      </c>
      <c r="C408"/>
      <c r="D408" s="136" t="s">
        <v>1902</v>
      </c>
      <c r="E408" s="136"/>
      <c r="M408" s="139"/>
      <c r="N408" s="139"/>
      <c r="O408" s="139"/>
      <c r="P408" s="139"/>
      <c r="Q408" s="139"/>
      <c r="R408" s="138"/>
      <c r="S408" s="137"/>
      <c r="T408" s="137"/>
      <c r="U408" s="137"/>
    </row>
    <row r="409" spans="1:21" s="89" customFormat="1" x14ac:dyDescent="0.25">
      <c r="A409" t="s">
        <v>1901</v>
      </c>
      <c r="B409">
        <f>(C110/(B407*2))</f>
        <v>10.468388057729742</v>
      </c>
      <c r="C409"/>
      <c r="D409" s="136">
        <f>7/B407</f>
        <v>1.9582491760729588</v>
      </c>
      <c r="E409" s="136"/>
      <c r="M409" s="139"/>
      <c r="N409" s="139"/>
      <c r="O409" s="139"/>
      <c r="P409" s="139"/>
      <c r="Q409" s="139"/>
      <c r="R409" s="138"/>
      <c r="S409" s="137"/>
      <c r="T409" s="137"/>
      <c r="U409" s="137"/>
    </row>
    <row r="410" spans="1:21" s="89" customFormat="1" x14ac:dyDescent="0.25">
      <c r="A410" t="s">
        <v>1900</v>
      </c>
      <c r="B410">
        <f>ROUND(B409,0)</f>
        <v>10</v>
      </c>
      <c r="C410"/>
      <c r="D410" s="136">
        <f>ROUND(D409,0)</f>
        <v>2</v>
      </c>
      <c r="E410" s="136"/>
      <c r="F410" s="89">
        <f>$AB$123</f>
        <v>0.254</v>
      </c>
      <c r="G410" s="317">
        <f>F410/2</f>
        <v>0.127</v>
      </c>
      <c r="M410" s="139"/>
      <c r="N410" s="139"/>
      <c r="O410" s="139"/>
      <c r="P410" s="139"/>
      <c r="Q410" s="139"/>
      <c r="R410" s="138"/>
      <c r="S410" s="137"/>
      <c r="T410" s="137"/>
      <c r="U410" s="137"/>
    </row>
    <row r="411" spans="1:21" s="89" customFormat="1" x14ac:dyDescent="0.25">
      <c r="A411"/>
      <c r="B411"/>
      <c r="C411"/>
      <c r="D411" s="136"/>
      <c r="E411" s="136"/>
      <c r="M411" s="139"/>
      <c r="N411" s="139"/>
      <c r="O411" s="139"/>
      <c r="P411" s="139"/>
      <c r="Q411" s="139"/>
      <c r="R411" s="138"/>
      <c r="S411" s="137"/>
      <c r="T411" s="137"/>
      <c r="U411" s="137"/>
    </row>
    <row r="412" spans="1:21" s="89" customFormat="1" x14ac:dyDescent="0.25">
      <c r="A412" t="s">
        <v>2103</v>
      </c>
      <c r="B412"/>
      <c r="C412"/>
      <c r="D412" s="136"/>
      <c r="E412" s="136"/>
      <c r="I412" s="89" t="s">
        <v>1942</v>
      </c>
      <c r="M412" s="139"/>
      <c r="N412" s="139"/>
      <c r="O412" s="139"/>
      <c r="P412" s="139"/>
      <c r="Q412" s="139"/>
      <c r="R412" s="138"/>
      <c r="S412" s="137"/>
      <c r="T412" s="137"/>
      <c r="U412" s="137"/>
    </row>
    <row r="413" spans="1:21" s="89" customFormat="1" x14ac:dyDescent="0.25">
      <c r="A413" s="314" t="s">
        <v>1917</v>
      </c>
      <c r="B413" s="7" t="s">
        <v>1913</v>
      </c>
      <c r="C413" s="136" t="s">
        <v>1912</v>
      </c>
      <c r="D413" t="s">
        <v>1837</v>
      </c>
      <c r="E413" s="136" t="s">
        <v>1838</v>
      </c>
      <c r="F413" s="136" t="s">
        <v>1864</v>
      </c>
      <c r="G413" s="139" t="s">
        <v>2102</v>
      </c>
      <c r="H413" s="139" t="s">
        <v>1893</v>
      </c>
      <c r="I413" s="139" t="s">
        <v>2107</v>
      </c>
      <c r="J413" s="139" t="s">
        <v>2106</v>
      </c>
      <c r="M413" s="139"/>
      <c r="N413" s="139"/>
      <c r="O413" s="139"/>
      <c r="P413" s="139"/>
      <c r="Q413" s="139"/>
      <c r="R413" s="138"/>
      <c r="S413" s="137"/>
      <c r="T413" s="137"/>
      <c r="U413" s="137"/>
    </row>
    <row r="414" spans="1:21" s="89" customFormat="1" x14ac:dyDescent="0.25">
      <c r="A414" s="315">
        <f>$C$110/2</f>
        <v>37.420527121609801</v>
      </c>
      <c r="B414" s="319">
        <f>$B$319*A414</f>
        <v>-88.982388643566864</v>
      </c>
      <c r="C414" s="139">
        <f>$B$312*A414</f>
        <v>17.013059839477538</v>
      </c>
      <c r="D414" s="73">
        <f t="shared" ref="D414:D435" si="81">A414</f>
        <v>37.420527121609801</v>
      </c>
      <c r="E414" s="159">
        <f>$K$378-($AB$123/(2*6))</f>
        <v>-0.1249432745827691</v>
      </c>
      <c r="F414" s="136">
        <f>$F$548-$H$648</f>
        <v>-1.4836382542221846</v>
      </c>
      <c r="G414" s="89">
        <f>-E414*$E$548*(B414*$P$330+C414*$P$332)/($P$333)+F414*$E$548*(C414*$P$331+B414*$P$332)/($P$333)</f>
        <v>-21058.148459899166</v>
      </c>
      <c r="H414" s="318">
        <f>$H$548</f>
        <v>3.1064068158695876E-2</v>
      </c>
      <c r="I414" s="69">
        <f>G414*H414</f>
        <v>-654.15175905424428</v>
      </c>
      <c r="J414" s="316">
        <f>$A$414-A414</f>
        <v>0</v>
      </c>
      <c r="K414" s="89">
        <f>SQRT(((PI()^2)*$C$548*$D$406/(4*ABS(I414))))</f>
        <v>3.5746217006140593</v>
      </c>
      <c r="M414" s="139"/>
      <c r="N414" s="139"/>
      <c r="O414" s="139"/>
      <c r="P414" s="139"/>
      <c r="Q414" s="139"/>
      <c r="R414" s="138"/>
      <c r="S414" s="137"/>
      <c r="T414" s="137"/>
      <c r="U414" s="137"/>
    </row>
    <row r="415" spans="1:21" s="89" customFormat="1" x14ac:dyDescent="0.25">
      <c r="A415" s="315">
        <f t="shared" ref="A415:A449" si="82">A414-1</f>
        <v>36.420527121609801</v>
      </c>
      <c r="B415" s="319">
        <f t="shared" ref="B415:B450" si="83">$B$319*A415</f>
        <v>-86.604485511566864</v>
      </c>
      <c r="C415" s="139">
        <f t="shared" ref="C415:C449" si="84">$B$312*A415</f>
        <v>16.558414724934167</v>
      </c>
      <c r="D415" s="73">
        <f t="shared" si="81"/>
        <v>36.420527121609801</v>
      </c>
      <c r="E415" s="159">
        <f t="shared" ref="E415:E450" si="85">$K$378-($AB$123/(2*6))</f>
        <v>-0.1249432745827691</v>
      </c>
      <c r="F415" s="136">
        <f t="shared" ref="F415:F450" si="86">$F$548-$H$648</f>
        <v>-1.4836382542221846</v>
      </c>
      <c r="G415" s="89">
        <f t="shared" ref="G415:G450" si="87">-E415*$E$548*(B415*$P$330+C415*$P$332)/($P$333)+F415*$E$548*(C415*$P$331+B415*$P$332)/($P$333)</f>
        <v>-20495.405225645296</v>
      </c>
      <c r="H415" s="318">
        <f t="shared" ref="H415:H450" si="88">$H$548</f>
        <v>3.1064068158695876E-2</v>
      </c>
      <c r="I415" s="69">
        <f t="shared" ref="I415:I450" si="89">G415*H415</f>
        <v>-636.67066486953706</v>
      </c>
      <c r="J415" s="316">
        <f>$A$414-A415</f>
        <v>1</v>
      </c>
      <c r="K415" s="89">
        <f t="shared" ref="K415:K450" si="90">SQRT(((PI()^2)*$C$548*$D$406/(4*ABS(I415))))</f>
        <v>3.6233636606023345</v>
      </c>
      <c r="M415" s="139"/>
      <c r="N415" s="139"/>
      <c r="O415" s="139"/>
      <c r="P415" s="139"/>
      <c r="Q415" s="139"/>
      <c r="R415" s="138"/>
      <c r="S415" s="137"/>
      <c r="T415" s="137"/>
      <c r="U415" s="137"/>
    </row>
    <row r="416" spans="1:21" s="89" customFormat="1" x14ac:dyDescent="0.25">
      <c r="A416" s="315">
        <f t="shared" si="82"/>
        <v>35.420527121609801</v>
      </c>
      <c r="B416" s="319">
        <f t="shared" si="83"/>
        <v>-84.226582379566864</v>
      </c>
      <c r="C416" s="139">
        <f t="shared" si="84"/>
        <v>16.103769610390799</v>
      </c>
      <c r="D416" s="73">
        <f t="shared" si="81"/>
        <v>35.420527121609801</v>
      </c>
      <c r="E416" s="159">
        <f t="shared" si="85"/>
        <v>-0.1249432745827691</v>
      </c>
      <c r="F416" s="136">
        <f t="shared" si="86"/>
        <v>-1.4836382542221846</v>
      </c>
      <c r="G416" s="89">
        <f t="shared" si="87"/>
        <v>-19932.661991391429</v>
      </c>
      <c r="H416" s="318">
        <f t="shared" si="88"/>
        <v>3.1064068158695876E-2</v>
      </c>
      <c r="I416" s="69">
        <f t="shared" si="89"/>
        <v>-619.18957068483007</v>
      </c>
      <c r="J416" s="316">
        <f t="shared" ref="J416:J434" si="91">$A$414-A416</f>
        <v>2</v>
      </c>
      <c r="K416" s="89">
        <f t="shared" si="90"/>
        <v>3.674155458651915</v>
      </c>
      <c r="M416" s="139"/>
      <c r="N416" s="139"/>
      <c r="O416" s="139"/>
      <c r="P416" s="139"/>
      <c r="Q416" s="139"/>
      <c r="R416" s="138"/>
      <c r="S416" s="137"/>
      <c r="T416" s="137"/>
      <c r="U416" s="137"/>
    </row>
    <row r="417" spans="1:21" s="89" customFormat="1" x14ac:dyDescent="0.25">
      <c r="A417" s="315">
        <f t="shared" si="82"/>
        <v>34.420527121609801</v>
      </c>
      <c r="B417" s="319">
        <f t="shared" si="83"/>
        <v>-81.848679247566864</v>
      </c>
      <c r="C417" s="139">
        <f t="shared" si="84"/>
        <v>15.649124495847431</v>
      </c>
      <c r="D417" s="73">
        <f t="shared" si="81"/>
        <v>34.420527121609801</v>
      </c>
      <c r="E417" s="159">
        <f t="shared" si="85"/>
        <v>-0.1249432745827691</v>
      </c>
      <c r="F417" s="136">
        <f t="shared" si="86"/>
        <v>-1.4836382542221846</v>
      </c>
      <c r="G417" s="89">
        <f t="shared" si="87"/>
        <v>-19369.918757137566</v>
      </c>
      <c r="H417" s="318">
        <f t="shared" si="88"/>
        <v>3.1064068158695876E-2</v>
      </c>
      <c r="I417" s="69">
        <f t="shared" si="89"/>
        <v>-601.70847650012308</v>
      </c>
      <c r="J417" s="316">
        <f t="shared" si="91"/>
        <v>3</v>
      </c>
      <c r="K417" s="89">
        <f t="shared" si="90"/>
        <v>3.727144920482985</v>
      </c>
      <c r="M417" s="139"/>
      <c r="N417" s="139"/>
      <c r="O417" s="139"/>
      <c r="P417" s="139"/>
      <c r="Q417" s="139"/>
      <c r="R417" s="138"/>
      <c r="S417" s="137"/>
      <c r="T417" s="137"/>
      <c r="U417" s="137"/>
    </row>
    <row r="418" spans="1:21" s="89" customFormat="1" x14ac:dyDescent="0.25">
      <c r="A418" s="315">
        <f t="shared" si="82"/>
        <v>33.420527121609801</v>
      </c>
      <c r="B418" s="319">
        <f t="shared" si="83"/>
        <v>-79.470776115566863</v>
      </c>
      <c r="C418" s="139">
        <f t="shared" si="84"/>
        <v>15.194479381304062</v>
      </c>
      <c r="D418" s="73">
        <f t="shared" si="81"/>
        <v>33.420527121609801</v>
      </c>
      <c r="E418" s="159">
        <f t="shared" si="85"/>
        <v>-0.1249432745827691</v>
      </c>
      <c r="F418" s="136">
        <f t="shared" si="86"/>
        <v>-1.4836382542221846</v>
      </c>
      <c r="G418" s="89">
        <f t="shared" si="87"/>
        <v>-18807.175522883703</v>
      </c>
      <c r="H418" s="318">
        <f t="shared" si="88"/>
        <v>3.1064068158695876E-2</v>
      </c>
      <c r="I418" s="69">
        <f t="shared" si="89"/>
        <v>-584.22738231541609</v>
      </c>
      <c r="J418" s="316">
        <f t="shared" si="91"/>
        <v>4</v>
      </c>
      <c r="K418" s="89">
        <f t="shared" si="90"/>
        <v>3.7824952404927306</v>
      </c>
      <c r="M418" s="139"/>
      <c r="N418" s="139"/>
      <c r="O418" s="139"/>
      <c r="P418" s="139"/>
      <c r="Q418" s="139"/>
      <c r="R418" s="138"/>
      <c r="S418" s="137"/>
      <c r="T418" s="137"/>
      <c r="U418" s="137"/>
    </row>
    <row r="419" spans="1:21" s="89" customFormat="1" x14ac:dyDescent="0.25">
      <c r="A419" s="315">
        <f t="shared" si="82"/>
        <v>32.420527121609801</v>
      </c>
      <c r="B419" s="319">
        <f t="shared" si="83"/>
        <v>-77.092872983566863</v>
      </c>
      <c r="C419" s="139">
        <f t="shared" si="84"/>
        <v>14.739834266760692</v>
      </c>
      <c r="D419" s="73">
        <f t="shared" si="81"/>
        <v>32.420527121609801</v>
      </c>
      <c r="E419" s="159">
        <f t="shared" si="85"/>
        <v>-0.1249432745827691</v>
      </c>
      <c r="F419" s="136">
        <f t="shared" si="86"/>
        <v>-1.4836382542221846</v>
      </c>
      <c r="G419" s="89">
        <f t="shared" si="87"/>
        <v>-18244.432288629836</v>
      </c>
      <c r="H419" s="318">
        <f t="shared" si="88"/>
        <v>3.1064068158695876E-2</v>
      </c>
      <c r="I419" s="69">
        <f t="shared" si="89"/>
        <v>-566.74628813070899</v>
      </c>
      <c r="J419" s="316">
        <f t="shared" si="91"/>
        <v>5</v>
      </c>
      <c r="K419" s="89">
        <f t="shared" si="90"/>
        <v>3.8403870990448028</v>
      </c>
      <c r="M419" s="139"/>
      <c r="N419" s="139"/>
      <c r="O419" s="139"/>
      <c r="P419" s="139"/>
      <c r="Q419" s="139"/>
      <c r="R419" s="138"/>
      <c r="S419" s="137"/>
      <c r="T419" s="137"/>
      <c r="U419" s="137"/>
    </row>
    <row r="420" spans="1:21" s="89" customFormat="1" x14ac:dyDescent="0.25">
      <c r="A420" s="315">
        <f t="shared" si="82"/>
        <v>31.420527121609801</v>
      </c>
      <c r="B420" s="319">
        <f t="shared" si="83"/>
        <v>-74.714969851566863</v>
      </c>
      <c r="C420" s="139">
        <f t="shared" si="84"/>
        <v>14.285189152217324</v>
      </c>
      <c r="D420" s="73">
        <f t="shared" si="81"/>
        <v>31.420527121609801</v>
      </c>
      <c r="E420" s="159">
        <f t="shared" si="85"/>
        <v>-0.1249432745827691</v>
      </c>
      <c r="F420" s="136">
        <f t="shared" si="86"/>
        <v>-1.4836382542221846</v>
      </c>
      <c r="G420" s="89">
        <f t="shared" si="87"/>
        <v>-17681.689054375969</v>
      </c>
      <c r="H420" s="318">
        <f t="shared" si="88"/>
        <v>3.1064068158695876E-2</v>
      </c>
      <c r="I420" s="69">
        <f t="shared" si="89"/>
        <v>-549.26519394600189</v>
      </c>
      <c r="J420" s="316">
        <f t="shared" si="91"/>
        <v>6</v>
      </c>
      <c r="K420" s="89">
        <f t="shared" si="90"/>
        <v>3.9010211475452912</v>
      </c>
      <c r="M420" s="139"/>
      <c r="N420" s="139"/>
      <c r="O420" s="139"/>
      <c r="P420" s="139"/>
      <c r="Q420" s="139"/>
      <c r="R420" s="138"/>
      <c r="S420" s="137"/>
      <c r="T420" s="137"/>
      <c r="U420" s="137"/>
    </row>
    <row r="421" spans="1:21" s="89" customFormat="1" x14ac:dyDescent="0.25">
      <c r="A421" s="315">
        <f t="shared" si="82"/>
        <v>30.420527121609801</v>
      </c>
      <c r="B421" s="319">
        <f t="shared" si="83"/>
        <v>-72.337066719566863</v>
      </c>
      <c r="C421" s="139">
        <f t="shared" si="84"/>
        <v>13.830544037673954</v>
      </c>
      <c r="D421" s="73">
        <f t="shared" si="81"/>
        <v>30.420527121609801</v>
      </c>
      <c r="E421" s="159">
        <f t="shared" si="85"/>
        <v>-0.1249432745827691</v>
      </c>
      <c r="F421" s="136">
        <f t="shared" si="86"/>
        <v>-1.4836382542221846</v>
      </c>
      <c r="G421" s="89">
        <f t="shared" si="87"/>
        <v>-17118.94582012211</v>
      </c>
      <c r="H421" s="318">
        <f t="shared" si="88"/>
        <v>3.1064068158695876E-2</v>
      </c>
      <c r="I421" s="69">
        <f t="shared" si="89"/>
        <v>-531.78409976129512</v>
      </c>
      <c r="J421" s="316">
        <f t="shared" si="91"/>
        <v>7</v>
      </c>
      <c r="K421" s="89">
        <f t="shared" si="90"/>
        <v>3.9646209392736327</v>
      </c>
      <c r="M421" s="139"/>
      <c r="N421" s="139"/>
      <c r="O421" s="139"/>
      <c r="P421" s="139"/>
      <c r="Q421" s="139"/>
      <c r="R421" s="138"/>
      <c r="S421" s="137"/>
      <c r="T421" s="137"/>
      <c r="U421" s="137"/>
    </row>
    <row r="422" spans="1:21" s="89" customFormat="1" x14ac:dyDescent="0.25">
      <c r="A422" s="315">
        <f t="shared" si="82"/>
        <v>29.420527121609801</v>
      </c>
      <c r="B422" s="319">
        <f t="shared" si="83"/>
        <v>-69.959163587566863</v>
      </c>
      <c r="C422" s="139">
        <f t="shared" si="84"/>
        <v>13.375898923130585</v>
      </c>
      <c r="D422" s="73">
        <f t="shared" si="81"/>
        <v>29.420527121609801</v>
      </c>
      <c r="E422" s="159">
        <f t="shared" si="85"/>
        <v>-0.1249432745827691</v>
      </c>
      <c r="F422" s="136">
        <f t="shared" si="86"/>
        <v>-1.4836382542221846</v>
      </c>
      <c r="G422" s="89">
        <f t="shared" si="87"/>
        <v>-16556.202585868243</v>
      </c>
      <c r="H422" s="318">
        <f t="shared" si="88"/>
        <v>3.1064068158695876E-2</v>
      </c>
      <c r="I422" s="69">
        <f t="shared" si="89"/>
        <v>-514.30300557658802</v>
      </c>
      <c r="J422" s="316">
        <f t="shared" si="91"/>
        <v>8</v>
      </c>
      <c r="K422" s="89">
        <f t="shared" si="90"/>
        <v>4.0314364036525223</v>
      </c>
      <c r="M422" s="139"/>
      <c r="N422" s="139"/>
      <c r="O422" s="139"/>
      <c r="P422" s="139"/>
      <c r="Q422" s="139"/>
      <c r="R422" s="138"/>
      <c r="S422" s="137"/>
      <c r="T422" s="137"/>
      <c r="U422" s="137"/>
    </row>
    <row r="423" spans="1:21" s="89" customFormat="1" x14ac:dyDescent="0.25">
      <c r="A423" s="315">
        <f t="shared" si="82"/>
        <v>28.420527121609801</v>
      </c>
      <c r="B423" s="319">
        <f t="shared" si="83"/>
        <v>-67.581260455566877</v>
      </c>
      <c r="C423" s="139">
        <f t="shared" si="84"/>
        <v>12.921253808587215</v>
      </c>
      <c r="D423" s="73">
        <f t="shared" si="81"/>
        <v>28.420527121609801</v>
      </c>
      <c r="E423" s="159">
        <f t="shared" si="85"/>
        <v>-0.1249432745827691</v>
      </c>
      <c r="F423" s="136">
        <f t="shared" si="86"/>
        <v>-1.4836382542221846</v>
      </c>
      <c r="G423" s="89">
        <f t="shared" si="87"/>
        <v>-15993.45935161438</v>
      </c>
      <c r="H423" s="318">
        <f t="shared" si="88"/>
        <v>3.1064068158695876E-2</v>
      </c>
      <c r="I423" s="69">
        <f t="shared" si="89"/>
        <v>-496.82191139188103</v>
      </c>
      <c r="J423" s="316">
        <f t="shared" si="91"/>
        <v>9</v>
      </c>
      <c r="K423" s="89">
        <f t="shared" si="90"/>
        <v>4.1017479872040763</v>
      </c>
      <c r="M423" s="139"/>
      <c r="N423" s="139"/>
      <c r="O423" s="139"/>
      <c r="P423" s="139"/>
      <c r="Q423" s="139"/>
      <c r="R423" s="138"/>
      <c r="S423" s="137"/>
      <c r="T423" s="137"/>
      <c r="U423" s="137"/>
    </row>
    <row r="424" spans="1:21" s="89" customFormat="1" x14ac:dyDescent="0.25">
      <c r="A424" s="315">
        <f t="shared" si="82"/>
        <v>27.420527121609801</v>
      </c>
      <c r="B424" s="319">
        <f t="shared" si="83"/>
        <v>-65.203357323566877</v>
      </c>
      <c r="C424" s="139">
        <f t="shared" si="84"/>
        <v>12.466608694043847</v>
      </c>
      <c r="D424" s="73">
        <f t="shared" si="81"/>
        <v>27.420527121609801</v>
      </c>
      <c r="E424" s="159">
        <f t="shared" si="85"/>
        <v>-0.1249432745827691</v>
      </c>
      <c r="F424" s="136">
        <f t="shared" si="86"/>
        <v>-1.4836382542221846</v>
      </c>
      <c r="G424" s="89">
        <f t="shared" si="87"/>
        <v>-15430.716117360515</v>
      </c>
      <c r="H424" s="318">
        <f t="shared" si="88"/>
        <v>3.1064068158695876E-2</v>
      </c>
      <c r="I424" s="69">
        <f t="shared" si="89"/>
        <v>-479.34081720717404</v>
      </c>
      <c r="J424" s="316">
        <f t="shared" si="91"/>
        <v>10</v>
      </c>
      <c r="K424" s="89">
        <f t="shared" si="90"/>
        <v>4.175871617858987</v>
      </c>
      <c r="M424" s="139"/>
      <c r="N424" s="139"/>
      <c r="O424" s="139"/>
      <c r="P424" s="139"/>
      <c r="Q424" s="139"/>
      <c r="R424" s="138"/>
      <c r="S424" s="137"/>
      <c r="T424" s="137"/>
      <c r="U424" s="137"/>
    </row>
    <row r="425" spans="1:21" s="89" customFormat="1" x14ac:dyDescent="0.25">
      <c r="A425" s="315">
        <f t="shared" si="82"/>
        <v>26.420527121609801</v>
      </c>
      <c r="B425" s="319">
        <f t="shared" si="83"/>
        <v>-62.82545419156687</v>
      </c>
      <c r="C425" s="139">
        <f t="shared" si="84"/>
        <v>12.011963579500478</v>
      </c>
      <c r="D425" s="73">
        <f t="shared" si="81"/>
        <v>26.420527121609801</v>
      </c>
      <c r="E425" s="159">
        <f t="shared" si="85"/>
        <v>-0.1249432745827691</v>
      </c>
      <c r="F425" s="136">
        <f t="shared" si="86"/>
        <v>-1.4836382542221846</v>
      </c>
      <c r="G425" s="89">
        <f t="shared" si="87"/>
        <v>-14867.972883106648</v>
      </c>
      <c r="H425" s="318">
        <f t="shared" si="88"/>
        <v>3.1064068158695876E-2</v>
      </c>
      <c r="I425" s="69">
        <f t="shared" si="89"/>
        <v>-461.85972302246694</v>
      </c>
      <c r="J425" s="316">
        <f t="shared" si="91"/>
        <v>11</v>
      </c>
      <c r="K425" s="89">
        <f t="shared" si="90"/>
        <v>4.2541646933607984</v>
      </c>
      <c r="M425" s="139"/>
      <c r="N425" s="139"/>
      <c r="O425" s="139"/>
      <c r="P425" s="139"/>
      <c r="Q425" s="139"/>
      <c r="R425" s="138"/>
      <c r="S425" s="137"/>
      <c r="T425" s="137"/>
      <c r="U425" s="137"/>
    </row>
    <row r="426" spans="1:21" s="89" customFormat="1" x14ac:dyDescent="0.25">
      <c r="A426" s="315">
        <f t="shared" si="82"/>
        <v>25.420527121609801</v>
      </c>
      <c r="B426" s="319">
        <f t="shared" si="83"/>
        <v>-60.447551059566869</v>
      </c>
      <c r="C426" s="139">
        <f t="shared" si="84"/>
        <v>11.557318464957108</v>
      </c>
      <c r="D426" s="73">
        <f t="shared" si="81"/>
        <v>25.420527121609801</v>
      </c>
      <c r="E426" s="159">
        <f t="shared" si="85"/>
        <v>-0.1249432745827691</v>
      </c>
      <c r="F426" s="136">
        <f t="shared" si="86"/>
        <v>-1.4836382542221846</v>
      </c>
      <c r="G426" s="89">
        <f t="shared" si="87"/>
        <v>-14305.229648852785</v>
      </c>
      <c r="H426" s="318">
        <f t="shared" si="88"/>
        <v>3.1064068158695876E-2</v>
      </c>
      <c r="I426" s="69">
        <f t="shared" si="89"/>
        <v>-444.37862883775995</v>
      </c>
      <c r="J426" s="316">
        <f t="shared" si="91"/>
        <v>12</v>
      </c>
      <c r="K426" s="89">
        <f t="shared" si="90"/>
        <v>4.3370333531847649</v>
      </c>
      <c r="M426" s="139"/>
      <c r="N426" s="139"/>
      <c r="O426" s="139"/>
      <c r="P426" s="139"/>
      <c r="Q426" s="139"/>
      <c r="R426" s="138"/>
      <c r="S426" s="137"/>
      <c r="T426" s="137"/>
      <c r="U426" s="137"/>
    </row>
    <row r="427" spans="1:21" s="89" customFormat="1" x14ac:dyDescent="0.25">
      <c r="A427" s="315">
        <f t="shared" si="82"/>
        <v>24.420527121609801</v>
      </c>
      <c r="B427" s="319">
        <f t="shared" si="83"/>
        <v>-58.069647927566876</v>
      </c>
      <c r="C427" s="139">
        <f t="shared" si="84"/>
        <v>11.10267335041374</v>
      </c>
      <c r="D427" s="73">
        <f t="shared" si="81"/>
        <v>24.420527121609801</v>
      </c>
      <c r="E427" s="159">
        <f t="shared" si="85"/>
        <v>-0.1249432745827691</v>
      </c>
      <c r="F427" s="136">
        <f t="shared" si="86"/>
        <v>-1.4836382542221846</v>
      </c>
      <c r="G427" s="89">
        <f t="shared" si="87"/>
        <v>-13742.48641459892</v>
      </c>
      <c r="H427" s="318">
        <f t="shared" si="88"/>
        <v>3.1064068158695876E-2</v>
      </c>
      <c r="I427" s="69">
        <f t="shared" si="89"/>
        <v>-426.89753465305296</v>
      </c>
      <c r="J427" s="316">
        <f t="shared" si="91"/>
        <v>13</v>
      </c>
      <c r="K427" s="89">
        <f t="shared" si="90"/>
        <v>4.424941372296006</v>
      </c>
      <c r="M427" s="139"/>
      <c r="N427" s="139"/>
      <c r="O427" s="139"/>
      <c r="P427" s="139"/>
      <c r="Q427" s="139"/>
      <c r="R427" s="138"/>
      <c r="S427" s="137"/>
      <c r="T427" s="137"/>
      <c r="U427" s="137"/>
    </row>
    <row r="428" spans="1:21" s="89" customFormat="1" x14ac:dyDescent="0.25">
      <c r="A428" s="315">
        <f t="shared" si="82"/>
        <v>23.420527121609801</v>
      </c>
      <c r="B428" s="319">
        <f t="shared" si="83"/>
        <v>-55.691744795566876</v>
      </c>
      <c r="C428" s="139">
        <f t="shared" si="84"/>
        <v>10.64802823587037</v>
      </c>
      <c r="D428" s="73">
        <f t="shared" si="81"/>
        <v>23.420527121609801</v>
      </c>
      <c r="E428" s="159">
        <f t="shared" si="85"/>
        <v>-0.1249432745827691</v>
      </c>
      <c r="F428" s="136">
        <f t="shared" si="86"/>
        <v>-1.4836382542221846</v>
      </c>
      <c r="G428" s="89">
        <f t="shared" si="87"/>
        <v>-13179.743180345056</v>
      </c>
      <c r="H428" s="318">
        <f t="shared" si="88"/>
        <v>3.1064068158695876E-2</v>
      </c>
      <c r="I428" s="69">
        <f t="shared" si="89"/>
        <v>-409.41644046834597</v>
      </c>
      <c r="J428" s="316">
        <f t="shared" si="91"/>
        <v>14</v>
      </c>
      <c r="K428" s="89">
        <f t="shared" si="90"/>
        <v>4.518421122328661</v>
      </c>
      <c r="M428" s="139"/>
      <c r="N428" s="139"/>
      <c r="O428" s="139"/>
      <c r="P428" s="139"/>
      <c r="Q428" s="139"/>
      <c r="R428" s="138"/>
      <c r="S428" s="137"/>
      <c r="T428" s="137"/>
      <c r="U428" s="137"/>
    </row>
    <row r="429" spans="1:21" s="89" customFormat="1" x14ac:dyDescent="0.25">
      <c r="A429" s="315">
        <f t="shared" si="82"/>
        <v>22.420527121609801</v>
      </c>
      <c r="B429" s="319">
        <f t="shared" si="83"/>
        <v>-53.313841663566876</v>
      </c>
      <c r="C429" s="139">
        <f t="shared" si="84"/>
        <v>10.193383121327001</v>
      </c>
      <c r="D429" s="73">
        <f t="shared" si="81"/>
        <v>22.420527121609801</v>
      </c>
      <c r="E429" s="159">
        <f t="shared" si="85"/>
        <v>-0.1249432745827691</v>
      </c>
      <c r="F429" s="136">
        <f t="shared" si="86"/>
        <v>-1.4836382542221846</v>
      </c>
      <c r="G429" s="89">
        <f t="shared" si="87"/>
        <v>-12616.999946091193</v>
      </c>
      <c r="H429" s="318">
        <f t="shared" si="88"/>
        <v>3.1064068158695876E-2</v>
      </c>
      <c r="I429" s="69">
        <f t="shared" si="89"/>
        <v>-391.93534628363903</v>
      </c>
      <c r="J429" s="316">
        <f t="shared" si="91"/>
        <v>15</v>
      </c>
      <c r="K429" s="89">
        <f t="shared" si="90"/>
        <v>4.6180871932655805</v>
      </c>
      <c r="M429" s="139"/>
      <c r="N429" s="139"/>
      <c r="O429" s="139"/>
      <c r="P429" s="139"/>
      <c r="Q429" s="139"/>
      <c r="R429" s="138"/>
      <c r="S429" s="137"/>
      <c r="T429" s="137"/>
      <c r="U429" s="137"/>
    </row>
    <row r="430" spans="1:21" s="89" customFormat="1" x14ac:dyDescent="0.25">
      <c r="A430" s="315">
        <f t="shared" si="82"/>
        <v>21.420527121609801</v>
      </c>
      <c r="B430" s="319">
        <f t="shared" si="83"/>
        <v>-50.935938531566876</v>
      </c>
      <c r="C430" s="139">
        <f t="shared" si="84"/>
        <v>9.7387380067836329</v>
      </c>
      <c r="D430" s="73">
        <f t="shared" si="81"/>
        <v>21.420527121609801</v>
      </c>
      <c r="E430" s="159">
        <f t="shared" si="85"/>
        <v>-0.1249432745827691</v>
      </c>
      <c r="F430" s="136">
        <f t="shared" si="86"/>
        <v>-1.4836382542221846</v>
      </c>
      <c r="G430" s="89">
        <f t="shared" si="87"/>
        <v>-12054.256711837326</v>
      </c>
      <c r="H430" s="318">
        <f t="shared" si="88"/>
        <v>3.1064068158695876E-2</v>
      </c>
      <c r="I430" s="69">
        <f t="shared" si="89"/>
        <v>-374.45425209893193</v>
      </c>
      <c r="J430" s="316">
        <f t="shared" si="91"/>
        <v>16</v>
      </c>
      <c r="K430" s="89">
        <f t="shared" si="90"/>
        <v>4.7246534740912836</v>
      </c>
      <c r="M430" s="139"/>
      <c r="N430" s="139"/>
      <c r="O430" s="139"/>
      <c r="P430" s="139"/>
      <c r="Q430" s="139"/>
      <c r="R430" s="138"/>
      <c r="S430" s="137"/>
      <c r="T430" s="137"/>
      <c r="U430" s="137"/>
    </row>
    <row r="431" spans="1:21" s="89" customFormat="1" x14ac:dyDescent="0.25">
      <c r="A431" s="315">
        <f t="shared" si="82"/>
        <v>20.420527121609801</v>
      </c>
      <c r="B431" s="319">
        <f t="shared" si="83"/>
        <v>-48.558035399566876</v>
      </c>
      <c r="C431" s="139">
        <f t="shared" si="84"/>
        <v>9.2840928922402632</v>
      </c>
      <c r="D431" s="73">
        <f t="shared" si="81"/>
        <v>20.420527121609801</v>
      </c>
      <c r="E431" s="159">
        <f t="shared" si="85"/>
        <v>-0.1249432745827691</v>
      </c>
      <c r="F431" s="136">
        <f t="shared" si="86"/>
        <v>-1.4836382542221846</v>
      </c>
      <c r="G431" s="89">
        <f t="shared" si="87"/>
        <v>-11491.513477583461</v>
      </c>
      <c r="H431" s="318">
        <f t="shared" si="88"/>
        <v>3.1064068158695876E-2</v>
      </c>
      <c r="I431" s="69">
        <f t="shared" si="89"/>
        <v>-356.97315791422494</v>
      </c>
      <c r="J431" s="316">
        <f t="shared" si="91"/>
        <v>17</v>
      </c>
      <c r="K431" s="89">
        <f t="shared" si="90"/>
        <v>4.8389547808101696</v>
      </c>
      <c r="M431" s="139"/>
      <c r="N431" s="139"/>
      <c r="O431" s="139"/>
      <c r="P431" s="139"/>
      <c r="Q431" s="139"/>
      <c r="R431" s="138"/>
      <c r="S431" s="137"/>
      <c r="T431" s="137"/>
      <c r="U431" s="137"/>
    </row>
    <row r="432" spans="1:21" s="89" customFormat="1" x14ac:dyDescent="0.25">
      <c r="A432" s="315">
        <f t="shared" si="82"/>
        <v>19.420527121609801</v>
      </c>
      <c r="B432" s="319">
        <f t="shared" si="83"/>
        <v>-46.180132267566876</v>
      </c>
      <c r="C432" s="139">
        <f t="shared" si="84"/>
        <v>8.8294477776968936</v>
      </c>
      <c r="D432" s="73">
        <f t="shared" si="81"/>
        <v>19.420527121609801</v>
      </c>
      <c r="E432" s="159">
        <f t="shared" si="85"/>
        <v>-0.1249432745827691</v>
      </c>
      <c r="F432" s="136">
        <f t="shared" si="86"/>
        <v>-1.4836382542221846</v>
      </c>
      <c r="G432" s="89">
        <f t="shared" si="87"/>
        <v>-10928.770243329596</v>
      </c>
      <c r="H432" s="318">
        <f t="shared" si="88"/>
        <v>3.1064068158695876E-2</v>
      </c>
      <c r="I432" s="69">
        <f t="shared" si="89"/>
        <v>-339.49206372951789</v>
      </c>
      <c r="J432" s="316">
        <f t="shared" si="91"/>
        <v>18</v>
      </c>
      <c r="K432" s="89">
        <f t="shared" si="90"/>
        <v>4.9619745355272888</v>
      </c>
      <c r="M432" s="139"/>
      <c r="N432" s="139"/>
      <c r="O432" s="139"/>
      <c r="P432" s="139"/>
      <c r="Q432" s="139"/>
      <c r="R432" s="138"/>
      <c r="S432" s="137"/>
      <c r="T432" s="137"/>
      <c r="U432" s="137"/>
    </row>
    <row r="433" spans="1:21" s="89" customFormat="1" x14ac:dyDescent="0.25">
      <c r="A433" s="315">
        <f t="shared" si="82"/>
        <v>18.420527121609801</v>
      </c>
      <c r="B433" s="319">
        <f t="shared" si="83"/>
        <v>-43.802229135566876</v>
      </c>
      <c r="C433" s="139">
        <f t="shared" si="84"/>
        <v>8.3748026631535257</v>
      </c>
      <c r="D433" s="73">
        <f t="shared" si="81"/>
        <v>18.420527121609801</v>
      </c>
      <c r="E433" s="159">
        <f t="shared" si="85"/>
        <v>-0.1249432745827691</v>
      </c>
      <c r="F433" s="136">
        <f t="shared" si="86"/>
        <v>-1.4836382542221846</v>
      </c>
      <c r="G433" s="89">
        <f t="shared" si="87"/>
        <v>-10366.027009075731</v>
      </c>
      <c r="H433" s="318">
        <f t="shared" si="88"/>
        <v>3.1064068158695876E-2</v>
      </c>
      <c r="I433" s="69">
        <f t="shared" si="89"/>
        <v>-322.01096954481085</v>
      </c>
      <c r="J433" s="316">
        <f t="shared" si="91"/>
        <v>19</v>
      </c>
      <c r="K433" s="89">
        <f t="shared" si="90"/>
        <v>5.0948806048444686</v>
      </c>
      <c r="M433" s="139"/>
      <c r="N433" s="139"/>
      <c r="O433" s="139"/>
      <c r="P433" s="139"/>
      <c r="Q433" s="139"/>
      <c r="R433" s="138"/>
      <c r="S433" s="137"/>
      <c r="T433" s="137"/>
      <c r="U433" s="137"/>
    </row>
    <row r="434" spans="1:21" s="89" customFormat="1" x14ac:dyDescent="0.25">
      <c r="A434" s="315">
        <f t="shared" si="82"/>
        <v>17.420527121609801</v>
      </c>
      <c r="B434" s="319">
        <f t="shared" si="83"/>
        <v>-41.424326003566875</v>
      </c>
      <c r="C434" s="139">
        <f t="shared" si="84"/>
        <v>7.9201575486101561</v>
      </c>
      <c r="D434" s="73">
        <f t="shared" si="81"/>
        <v>17.420527121609801</v>
      </c>
      <c r="E434" s="159">
        <f t="shared" si="85"/>
        <v>-0.1249432745827691</v>
      </c>
      <c r="F434" s="136">
        <f t="shared" si="86"/>
        <v>-1.4836382542221846</v>
      </c>
      <c r="G434" s="89">
        <f t="shared" si="87"/>
        <v>-9803.2837748218662</v>
      </c>
      <c r="H434" s="318">
        <f t="shared" si="88"/>
        <v>3.1064068158695876E-2</v>
      </c>
      <c r="I434" s="69">
        <f t="shared" si="89"/>
        <v>-304.52987536010386</v>
      </c>
      <c r="J434" s="316">
        <f t="shared" si="91"/>
        <v>20</v>
      </c>
      <c r="K434" s="89">
        <f t="shared" si="90"/>
        <v>5.2390723014888305</v>
      </c>
      <c r="M434" s="139"/>
      <c r="N434" s="139"/>
      <c r="O434" s="139"/>
      <c r="P434" s="139"/>
      <c r="Q434" s="139"/>
      <c r="R434" s="138"/>
      <c r="S434" s="137"/>
      <c r="T434" s="137"/>
      <c r="U434" s="137"/>
    </row>
    <row r="435" spans="1:21" s="89" customFormat="1" x14ac:dyDescent="0.25">
      <c r="A435" s="315">
        <f t="shared" si="82"/>
        <v>16.420527121609801</v>
      </c>
      <c r="B435" s="319">
        <f t="shared" si="83"/>
        <v>-39.046422871566882</v>
      </c>
      <c r="C435" s="139">
        <f t="shared" si="84"/>
        <v>7.4655124340667864</v>
      </c>
      <c r="D435" s="73">
        <f t="shared" si="81"/>
        <v>16.420527121609801</v>
      </c>
      <c r="E435" s="159">
        <f t="shared" si="85"/>
        <v>-0.1249432745827691</v>
      </c>
      <c r="F435" s="136">
        <f t="shared" si="86"/>
        <v>-1.4836382542221846</v>
      </c>
      <c r="G435" s="89">
        <f t="shared" si="87"/>
        <v>-9240.5405405680049</v>
      </c>
      <c r="H435" s="318">
        <f t="shared" si="88"/>
        <v>3.1064068158695876E-2</v>
      </c>
      <c r="I435" s="69">
        <f t="shared" si="89"/>
        <v>-287.04878117539693</v>
      </c>
      <c r="J435" s="316">
        <f>$A$414-A435</f>
        <v>21</v>
      </c>
      <c r="K435" s="89">
        <f t="shared" si="90"/>
        <v>5.3962429059639714</v>
      </c>
      <c r="M435" s="139"/>
      <c r="N435" s="139"/>
      <c r="O435" s="139"/>
      <c r="P435" s="139"/>
      <c r="Q435" s="139"/>
      <c r="R435" s="138"/>
      <c r="S435" s="137"/>
      <c r="T435" s="137"/>
      <c r="U435" s="137"/>
    </row>
    <row r="436" spans="1:21" s="89" customFormat="1" x14ac:dyDescent="0.25">
      <c r="A436" s="315">
        <f t="shared" si="82"/>
        <v>15.420527121609801</v>
      </c>
      <c r="B436" s="319">
        <f t="shared" si="83"/>
        <v>-36.668519739566882</v>
      </c>
      <c r="C436" s="139">
        <f t="shared" si="84"/>
        <v>7.0108673195234177</v>
      </c>
      <c r="D436" s="73">
        <f t="shared" ref="D436:D450" si="92">A436</f>
        <v>15.420527121609801</v>
      </c>
      <c r="E436" s="159">
        <f t="shared" si="85"/>
        <v>-0.1249432745827691</v>
      </c>
      <c r="F436" s="136">
        <f t="shared" si="86"/>
        <v>-1.4836382542221846</v>
      </c>
      <c r="G436" s="89">
        <f t="shared" si="87"/>
        <v>-8677.7973063141362</v>
      </c>
      <c r="H436" s="318">
        <f t="shared" si="88"/>
        <v>3.1064068158695876E-2</v>
      </c>
      <c r="I436" s="69">
        <f t="shared" si="89"/>
        <v>-269.56768699068982</v>
      </c>
      <c r="J436" s="316">
        <f>$A$414-A436</f>
        <v>22</v>
      </c>
      <c r="K436" s="89">
        <f t="shared" si="90"/>
        <v>5.5684641526580663</v>
      </c>
      <c r="M436" s="139"/>
      <c r="N436" s="139"/>
      <c r="O436" s="139"/>
      <c r="P436" s="139"/>
      <c r="Q436" s="139"/>
      <c r="R436" s="138"/>
      <c r="S436" s="137"/>
      <c r="T436" s="137"/>
      <c r="U436" s="137"/>
    </row>
    <row r="437" spans="1:21" s="89" customFormat="1" x14ac:dyDescent="0.25">
      <c r="A437" s="315">
        <f t="shared" si="82"/>
        <v>14.420527121609801</v>
      </c>
      <c r="B437" s="319">
        <f t="shared" si="83"/>
        <v>-34.290616607566882</v>
      </c>
      <c r="C437" s="139">
        <f t="shared" si="84"/>
        <v>6.5562222049800489</v>
      </c>
      <c r="D437" s="73">
        <f t="shared" si="92"/>
        <v>14.420527121609801</v>
      </c>
      <c r="E437" s="159">
        <f t="shared" si="85"/>
        <v>-0.1249432745827691</v>
      </c>
      <c r="F437" s="136">
        <f t="shared" si="86"/>
        <v>-1.4836382542221846</v>
      </c>
      <c r="G437" s="89">
        <f t="shared" si="87"/>
        <v>-8115.0540720602739</v>
      </c>
      <c r="H437" s="318">
        <f t="shared" si="88"/>
        <v>3.1064068158695876E-2</v>
      </c>
      <c r="I437" s="69">
        <f t="shared" si="89"/>
        <v>-252.08659280598286</v>
      </c>
      <c r="J437" s="316">
        <f t="shared" ref="J437:J450" si="93">$A$414-A437</f>
        <v>23</v>
      </c>
      <c r="K437" s="89">
        <f t="shared" si="90"/>
        <v>5.7583024238100418</v>
      </c>
      <c r="M437" s="139"/>
      <c r="N437" s="139"/>
      <c r="O437" s="139"/>
      <c r="P437" s="139"/>
      <c r="Q437" s="139"/>
      <c r="R437" s="138"/>
      <c r="S437" s="137"/>
      <c r="T437" s="137"/>
      <c r="U437" s="137"/>
    </row>
    <row r="438" spans="1:21" s="89" customFormat="1" x14ac:dyDescent="0.25">
      <c r="A438" s="315">
        <f t="shared" si="82"/>
        <v>13.420527121609801</v>
      </c>
      <c r="B438" s="319">
        <f t="shared" si="83"/>
        <v>-31.912713475566882</v>
      </c>
      <c r="C438" s="139">
        <f t="shared" si="84"/>
        <v>6.1015770904366793</v>
      </c>
      <c r="D438" s="73">
        <f t="shared" si="92"/>
        <v>13.420527121609801</v>
      </c>
      <c r="E438" s="159">
        <f t="shared" si="85"/>
        <v>-0.1249432745827691</v>
      </c>
      <c r="F438" s="136">
        <f t="shared" si="86"/>
        <v>-1.4836382542221846</v>
      </c>
      <c r="G438" s="89">
        <f>-E438*$E$548*(B438*$P$330+C438*$P$332)/($P$333)+F438*$E$548*(C438*$P$331+B438*$P$332)/($P$333)</f>
        <v>-7552.3108378064098</v>
      </c>
      <c r="H438" s="318">
        <f t="shared" si="88"/>
        <v>3.1064068158695876E-2</v>
      </c>
      <c r="I438" s="69">
        <f t="shared" si="89"/>
        <v>-234.60549862127587</v>
      </c>
      <c r="J438" s="316">
        <f t="shared" si="93"/>
        <v>24</v>
      </c>
      <c r="K438" s="89">
        <f t="shared" si="90"/>
        <v>5.968981748301462</v>
      </c>
      <c r="M438" s="139"/>
      <c r="N438" s="139"/>
      <c r="O438" s="139"/>
      <c r="P438" s="139"/>
      <c r="Q438" s="139"/>
      <c r="R438" s="138"/>
      <c r="S438" s="137"/>
      <c r="T438" s="137"/>
      <c r="U438" s="137"/>
    </row>
    <row r="439" spans="1:21" s="89" customFormat="1" x14ac:dyDescent="0.25">
      <c r="A439" s="315">
        <f t="shared" si="82"/>
        <v>12.420527121609801</v>
      </c>
      <c r="B439" s="319">
        <f t="shared" si="83"/>
        <v>-29.534810343566882</v>
      </c>
      <c r="C439" s="139">
        <f t="shared" si="84"/>
        <v>5.6469319758933105</v>
      </c>
      <c r="D439" s="73">
        <f t="shared" si="92"/>
        <v>12.420527121609801</v>
      </c>
      <c r="E439" s="159">
        <f t="shared" si="85"/>
        <v>-0.1249432745827691</v>
      </c>
      <c r="F439" s="136">
        <f t="shared" si="86"/>
        <v>-1.4836382542221846</v>
      </c>
      <c r="G439" s="89">
        <f t="shared" si="87"/>
        <v>-6989.5676035525439</v>
      </c>
      <c r="H439" s="318">
        <f t="shared" si="88"/>
        <v>3.1064068158695876E-2</v>
      </c>
      <c r="I439" s="69">
        <f t="shared" si="89"/>
        <v>-217.12440443656882</v>
      </c>
      <c r="J439" s="316">
        <f t="shared" si="93"/>
        <v>25</v>
      </c>
      <c r="K439" s="89">
        <f t="shared" si="90"/>
        <v>6.2046176540237257</v>
      </c>
      <c r="M439" s="139"/>
      <c r="N439" s="139"/>
      <c r="O439" s="139"/>
      <c r="P439" s="139"/>
      <c r="Q439" s="139"/>
      <c r="R439" s="138"/>
      <c r="S439" s="137"/>
      <c r="T439" s="137"/>
      <c r="U439" s="137"/>
    </row>
    <row r="440" spans="1:21" s="89" customFormat="1" x14ac:dyDescent="0.25">
      <c r="A440" s="315">
        <f t="shared" si="82"/>
        <v>11.420527121609801</v>
      </c>
      <c r="B440" s="319">
        <f t="shared" si="83"/>
        <v>-27.156907211566882</v>
      </c>
      <c r="C440" s="139">
        <f t="shared" si="84"/>
        <v>5.1922868613499418</v>
      </c>
      <c r="D440" s="73">
        <f t="shared" si="92"/>
        <v>11.420527121609801</v>
      </c>
      <c r="E440" s="159">
        <f t="shared" si="85"/>
        <v>-0.1249432745827691</v>
      </c>
      <c r="F440" s="136">
        <f t="shared" si="86"/>
        <v>-1.4836382542221846</v>
      </c>
      <c r="G440" s="89">
        <f t="shared" si="87"/>
        <v>-6426.8243692986789</v>
      </c>
      <c r="H440" s="318">
        <f t="shared" si="88"/>
        <v>3.1064068158695876E-2</v>
      </c>
      <c r="I440" s="69">
        <f t="shared" si="89"/>
        <v>-199.64331025186181</v>
      </c>
      <c r="J440" s="316">
        <f t="shared" si="93"/>
        <v>26</v>
      </c>
      <c r="K440" s="89">
        <f t="shared" si="90"/>
        <v>6.4705614084651302</v>
      </c>
      <c r="M440" s="139"/>
      <c r="N440" s="139"/>
      <c r="O440" s="139"/>
      <c r="P440" s="139"/>
      <c r="Q440" s="139"/>
      <c r="R440" s="138"/>
      <c r="S440" s="137"/>
      <c r="T440" s="137"/>
      <c r="U440" s="137"/>
    </row>
    <row r="441" spans="1:21" s="89" customFormat="1" x14ac:dyDescent="0.25">
      <c r="A441" s="315">
        <f t="shared" si="82"/>
        <v>10.420527121609801</v>
      </c>
      <c r="B441" s="319">
        <f t="shared" si="83"/>
        <v>-24.779004079566885</v>
      </c>
      <c r="C441" s="139">
        <f t="shared" si="84"/>
        <v>4.7376417468065721</v>
      </c>
      <c r="D441" s="73">
        <f t="shared" si="92"/>
        <v>10.420527121609801</v>
      </c>
      <c r="E441" s="159">
        <f t="shared" si="85"/>
        <v>-0.1249432745827691</v>
      </c>
      <c r="F441" s="136">
        <f t="shared" si="86"/>
        <v>-1.4836382542221846</v>
      </c>
      <c r="G441" s="89">
        <f t="shared" si="87"/>
        <v>-5864.0811350448157</v>
      </c>
      <c r="H441" s="318">
        <f t="shared" si="88"/>
        <v>3.1064068158695876E-2</v>
      </c>
      <c r="I441" s="69">
        <f t="shared" si="89"/>
        <v>-182.16221606715484</v>
      </c>
      <c r="J441" s="316">
        <f t="shared" si="93"/>
        <v>27</v>
      </c>
      <c r="K441" s="89">
        <f t="shared" si="90"/>
        <v>6.7739220355177983</v>
      </c>
      <c r="M441" s="139"/>
      <c r="N441" s="139"/>
      <c r="O441" s="139"/>
      <c r="P441" s="139"/>
      <c r="Q441" s="139"/>
      <c r="R441" s="138"/>
      <c r="S441" s="137"/>
      <c r="T441" s="137"/>
      <c r="U441" s="137"/>
    </row>
    <row r="442" spans="1:21" s="89" customFormat="1" x14ac:dyDescent="0.25">
      <c r="A442" s="315">
        <f t="shared" si="82"/>
        <v>9.4205271216098012</v>
      </c>
      <c r="B442" s="319">
        <f t="shared" si="83"/>
        <v>-22.401100947566885</v>
      </c>
      <c r="C442" s="139">
        <f t="shared" si="84"/>
        <v>4.2829966322632034</v>
      </c>
      <c r="D442" s="73">
        <f t="shared" si="92"/>
        <v>9.4205271216098012</v>
      </c>
      <c r="E442" s="159">
        <f t="shared" si="85"/>
        <v>-0.1249432745827691</v>
      </c>
      <c r="F442" s="136">
        <f t="shared" si="86"/>
        <v>-1.4836382542221846</v>
      </c>
      <c r="G442" s="89">
        <f t="shared" si="87"/>
        <v>-5301.3379007909507</v>
      </c>
      <c r="H442" s="318">
        <f t="shared" si="88"/>
        <v>3.1064068158695876E-2</v>
      </c>
      <c r="I442" s="69">
        <f t="shared" si="89"/>
        <v>-164.6811218824478</v>
      </c>
      <c r="J442" s="316">
        <f t="shared" si="93"/>
        <v>28</v>
      </c>
      <c r="K442" s="89">
        <f t="shared" si="90"/>
        <v>7.1243859063560349</v>
      </c>
      <c r="M442" s="139"/>
      <c r="N442" s="139"/>
      <c r="O442" s="139"/>
      <c r="P442" s="139"/>
      <c r="Q442" s="139"/>
      <c r="R442" s="138"/>
      <c r="S442" s="137"/>
      <c r="T442" s="137"/>
      <c r="U442" s="137"/>
    </row>
    <row r="443" spans="1:21" s="89" customFormat="1" x14ac:dyDescent="0.25">
      <c r="A443" s="315">
        <f t="shared" si="82"/>
        <v>8.4205271216098012</v>
      </c>
      <c r="B443" s="319">
        <f t="shared" si="83"/>
        <v>-20.023197815566885</v>
      </c>
      <c r="C443" s="139">
        <f t="shared" si="84"/>
        <v>3.8283515177198342</v>
      </c>
      <c r="D443" s="73">
        <f t="shared" si="92"/>
        <v>8.4205271216098012</v>
      </c>
      <c r="E443" s="159">
        <f t="shared" si="85"/>
        <v>-0.1249432745827691</v>
      </c>
      <c r="F443" s="136">
        <f t="shared" si="86"/>
        <v>-1.4836382542221846</v>
      </c>
      <c r="G443" s="89">
        <f t="shared" si="87"/>
        <v>-4738.5946665370839</v>
      </c>
      <c r="H443" s="318">
        <f t="shared" si="88"/>
        <v>3.1064068158695876E-2</v>
      </c>
      <c r="I443" s="69">
        <f t="shared" si="89"/>
        <v>-147.20002769774072</v>
      </c>
      <c r="J443" s="316">
        <f t="shared" si="93"/>
        <v>29</v>
      </c>
      <c r="K443" s="89">
        <f t="shared" si="90"/>
        <v>7.5355576802592079</v>
      </c>
      <c r="M443" s="139"/>
      <c r="N443" s="139"/>
      <c r="O443" s="139"/>
      <c r="P443" s="139"/>
      <c r="Q443" s="139"/>
      <c r="R443" s="138"/>
      <c r="S443" s="137"/>
      <c r="T443" s="137"/>
      <c r="U443" s="137"/>
    </row>
    <row r="444" spans="1:21" s="89" customFormat="1" x14ac:dyDescent="0.25">
      <c r="A444" s="315">
        <f t="shared" si="82"/>
        <v>7.4205271216098012</v>
      </c>
      <c r="B444" s="319">
        <f t="shared" si="83"/>
        <v>-17.645294683566885</v>
      </c>
      <c r="C444" s="139">
        <f t="shared" si="84"/>
        <v>3.373706403176465</v>
      </c>
      <c r="D444" s="73">
        <f t="shared" si="92"/>
        <v>7.4205271216098012</v>
      </c>
      <c r="E444" s="159">
        <f t="shared" si="85"/>
        <v>-0.1249432745827691</v>
      </c>
      <c r="F444" s="136">
        <f t="shared" si="86"/>
        <v>-1.4836382542221846</v>
      </c>
      <c r="G444" s="89">
        <f t="shared" si="87"/>
        <v>-4175.8514322832207</v>
      </c>
      <c r="H444" s="318">
        <f t="shared" si="88"/>
        <v>3.1064068158695876E-2</v>
      </c>
      <c r="I444" s="69">
        <f t="shared" si="89"/>
        <v>-129.71893351303376</v>
      </c>
      <c r="J444" s="316">
        <f t="shared" si="93"/>
        <v>30</v>
      </c>
      <c r="K444" s="89">
        <f t="shared" si="90"/>
        <v>8.0272660948245615</v>
      </c>
      <c r="M444" s="139"/>
      <c r="N444" s="139"/>
      <c r="O444" s="139"/>
      <c r="P444" s="139"/>
      <c r="Q444" s="139"/>
      <c r="R444" s="138"/>
      <c r="S444" s="137"/>
      <c r="T444" s="137"/>
      <c r="U444" s="137"/>
    </row>
    <row r="445" spans="1:21" s="89" customFormat="1" x14ac:dyDescent="0.25">
      <c r="A445" s="315">
        <f t="shared" si="82"/>
        <v>6.4205271216098012</v>
      </c>
      <c r="B445" s="319">
        <f t="shared" si="83"/>
        <v>-15.267391551566886</v>
      </c>
      <c r="C445" s="139">
        <f t="shared" si="84"/>
        <v>2.9190612886330958</v>
      </c>
      <c r="D445" s="73">
        <f t="shared" si="92"/>
        <v>6.4205271216098012</v>
      </c>
      <c r="E445" s="159">
        <f t="shared" si="85"/>
        <v>-0.1249432745827691</v>
      </c>
      <c r="F445" s="136">
        <f t="shared" si="86"/>
        <v>-1.4836382542221846</v>
      </c>
      <c r="G445" s="89">
        <f t="shared" si="87"/>
        <v>-3613.1081980293557</v>
      </c>
      <c r="H445" s="318">
        <f t="shared" si="88"/>
        <v>3.1064068158695876E-2</v>
      </c>
      <c r="I445" s="69">
        <f t="shared" si="89"/>
        <v>-112.23783932832674</v>
      </c>
      <c r="J445" s="316">
        <f t="shared" si="93"/>
        <v>31</v>
      </c>
      <c r="K445" s="89">
        <f t="shared" si="90"/>
        <v>8.6297794275972191</v>
      </c>
      <c r="M445" s="139"/>
      <c r="N445" s="139"/>
      <c r="O445" s="139"/>
      <c r="P445" s="139"/>
      <c r="Q445" s="139"/>
      <c r="R445" s="138"/>
      <c r="S445" s="137"/>
      <c r="T445" s="137"/>
      <c r="U445" s="137"/>
    </row>
    <row r="446" spans="1:21" s="89" customFormat="1" x14ac:dyDescent="0.25">
      <c r="A446" s="315">
        <f t="shared" si="82"/>
        <v>5.4205271216098012</v>
      </c>
      <c r="B446" s="319">
        <f t="shared" si="83"/>
        <v>-12.889488419566888</v>
      </c>
      <c r="C446" s="139">
        <f t="shared" si="84"/>
        <v>2.464416174089727</v>
      </c>
      <c r="D446" s="73">
        <f t="shared" si="92"/>
        <v>5.4205271216098012</v>
      </c>
      <c r="E446" s="159">
        <f t="shared" si="85"/>
        <v>-0.1249432745827691</v>
      </c>
      <c r="F446" s="136">
        <f t="shared" si="86"/>
        <v>-1.4836382542221846</v>
      </c>
      <c r="G446" s="89">
        <f t="shared" si="87"/>
        <v>-3050.3649637754911</v>
      </c>
      <c r="H446" s="318">
        <f t="shared" si="88"/>
        <v>3.1064068158695876E-2</v>
      </c>
      <c r="I446" s="69">
        <f t="shared" si="89"/>
        <v>-94.756745143619739</v>
      </c>
      <c r="J446" s="316">
        <f t="shared" si="93"/>
        <v>32</v>
      </c>
      <c r="K446" s="89">
        <f t="shared" si="90"/>
        <v>9.3921339339011389</v>
      </c>
      <c r="M446" s="139"/>
      <c r="N446" s="139"/>
      <c r="O446" s="139"/>
      <c r="P446" s="139"/>
      <c r="Q446" s="139"/>
      <c r="R446" s="138"/>
      <c r="S446" s="137"/>
      <c r="T446" s="137"/>
      <c r="U446" s="137"/>
    </row>
    <row r="447" spans="1:21" s="89" customFormat="1" x14ac:dyDescent="0.25">
      <c r="A447" s="315">
        <f t="shared" si="82"/>
        <v>4.4205271216098012</v>
      </c>
      <c r="B447" s="319">
        <f t="shared" si="83"/>
        <v>-10.511585287566888</v>
      </c>
      <c r="C447" s="139">
        <f t="shared" si="84"/>
        <v>2.0097710595463578</v>
      </c>
      <c r="D447" s="73">
        <f t="shared" si="92"/>
        <v>4.4205271216098012</v>
      </c>
      <c r="E447" s="159">
        <f t="shared" si="85"/>
        <v>-0.1249432745827691</v>
      </c>
      <c r="F447" s="136">
        <f t="shared" si="86"/>
        <v>-1.4836382542221846</v>
      </c>
      <c r="G447" s="89">
        <f t="shared" si="87"/>
        <v>-2487.6217295216265</v>
      </c>
      <c r="H447" s="318">
        <f t="shared" si="88"/>
        <v>3.1064068158695876E-2</v>
      </c>
      <c r="I447" s="69">
        <f t="shared" si="89"/>
        <v>-77.275650958912721</v>
      </c>
      <c r="J447" s="316">
        <f t="shared" si="93"/>
        <v>33</v>
      </c>
      <c r="K447" s="89">
        <f t="shared" si="90"/>
        <v>10.400351280969518</v>
      </c>
      <c r="M447" s="139"/>
      <c r="N447" s="139"/>
      <c r="O447" s="139"/>
      <c r="P447" s="139"/>
      <c r="Q447" s="139"/>
      <c r="R447" s="138"/>
      <c r="S447" s="137"/>
      <c r="T447" s="137"/>
      <c r="U447" s="137"/>
    </row>
    <row r="448" spans="1:21" s="89" customFormat="1" x14ac:dyDescent="0.25">
      <c r="A448" s="315">
        <f t="shared" si="82"/>
        <v>3.4205271216098012</v>
      </c>
      <c r="B448" s="319">
        <f t="shared" si="83"/>
        <v>-8.1336821555668894</v>
      </c>
      <c r="C448" s="139">
        <f t="shared" si="84"/>
        <v>1.5551259450029886</v>
      </c>
      <c r="D448" s="73">
        <f t="shared" si="92"/>
        <v>3.4205271216098012</v>
      </c>
      <c r="E448" s="159">
        <f t="shared" si="85"/>
        <v>-0.1249432745827691</v>
      </c>
      <c r="F448" s="136">
        <f t="shared" si="86"/>
        <v>-1.4836382542221846</v>
      </c>
      <c r="G448" s="89">
        <f t="shared" si="87"/>
        <v>-1924.878495267762</v>
      </c>
      <c r="H448" s="318">
        <f t="shared" si="88"/>
        <v>3.1064068158695876E-2</v>
      </c>
      <c r="I448" s="69">
        <f t="shared" si="89"/>
        <v>-59.794556774205716</v>
      </c>
      <c r="J448" s="316">
        <f t="shared" si="93"/>
        <v>34</v>
      </c>
      <c r="K448" s="89">
        <f t="shared" si="90"/>
        <v>11.823294812324036</v>
      </c>
      <c r="M448" s="139"/>
      <c r="N448" s="139"/>
      <c r="O448" s="139"/>
      <c r="P448" s="139"/>
      <c r="Q448" s="139"/>
      <c r="R448" s="138"/>
      <c r="S448" s="137"/>
      <c r="T448" s="137"/>
      <c r="U448" s="137"/>
    </row>
    <row r="449" spans="1:21" s="89" customFormat="1" x14ac:dyDescent="0.25">
      <c r="A449" s="315">
        <f t="shared" si="82"/>
        <v>2.4205271216098012</v>
      </c>
      <c r="B449" s="319">
        <f t="shared" si="83"/>
        <v>-5.7557790235668893</v>
      </c>
      <c r="C449" s="139">
        <f t="shared" si="84"/>
        <v>1.1004808304596196</v>
      </c>
      <c r="D449" s="73">
        <f t="shared" si="92"/>
        <v>2.4205271216098012</v>
      </c>
      <c r="E449" s="159">
        <f t="shared" si="85"/>
        <v>-0.1249432745827691</v>
      </c>
      <c r="F449" s="136">
        <f t="shared" si="86"/>
        <v>-1.4836382542221846</v>
      </c>
      <c r="G449" s="89">
        <f t="shared" si="87"/>
        <v>-1362.1352610138972</v>
      </c>
      <c r="H449" s="318">
        <f t="shared" si="88"/>
        <v>3.1064068158695876E-2</v>
      </c>
      <c r="I449" s="69">
        <f t="shared" si="89"/>
        <v>-42.313462589498698</v>
      </c>
      <c r="J449" s="316">
        <f t="shared" si="93"/>
        <v>35</v>
      </c>
      <c r="K449" s="89">
        <f t="shared" si="90"/>
        <v>14.054974479196803</v>
      </c>
      <c r="M449" s="139"/>
      <c r="N449" s="139"/>
      <c r="O449" s="139"/>
      <c r="P449" s="139"/>
      <c r="Q449" s="139"/>
      <c r="R449" s="138"/>
      <c r="S449" s="137"/>
      <c r="T449" s="137"/>
      <c r="U449" s="137"/>
    </row>
    <row r="450" spans="1:21" s="89" customFormat="1" x14ac:dyDescent="0.25">
      <c r="A450">
        <v>0</v>
      </c>
      <c r="B450" s="319">
        <f t="shared" si="83"/>
        <v>0</v>
      </c>
      <c r="C450" s="139">
        <f t="shared" ref="C450" si="94">$B$312*A450</f>
        <v>0</v>
      </c>
      <c r="D450" s="73">
        <f t="shared" si="92"/>
        <v>0</v>
      </c>
      <c r="E450" s="159">
        <f t="shared" si="85"/>
        <v>-0.1249432745827691</v>
      </c>
      <c r="F450" s="136">
        <f t="shared" si="86"/>
        <v>-1.4836382542221846</v>
      </c>
      <c r="G450" s="89">
        <f t="shared" si="87"/>
        <v>0</v>
      </c>
      <c r="H450" s="318">
        <f t="shared" si="88"/>
        <v>3.1064068158695876E-2</v>
      </c>
      <c r="I450" s="69">
        <f t="shared" si="89"/>
        <v>0</v>
      </c>
      <c r="J450" s="316">
        <f t="shared" si="93"/>
        <v>37.420527121609801</v>
      </c>
      <c r="K450" s="89" t="e">
        <f t="shared" si="90"/>
        <v>#DIV/0!</v>
      </c>
      <c r="M450" s="139"/>
      <c r="N450" s="139"/>
      <c r="O450" s="139"/>
      <c r="P450" s="139"/>
      <c r="Q450" s="139"/>
      <c r="R450" s="138"/>
      <c r="S450" s="137"/>
      <c r="T450" s="137"/>
      <c r="U450" s="137"/>
    </row>
    <row r="451" spans="1:21" s="89" customFormat="1" x14ac:dyDescent="0.25">
      <c r="A451"/>
      <c r="B451"/>
      <c r="C451"/>
      <c r="D451" s="136"/>
      <c r="E451" s="136"/>
      <c r="M451" s="139"/>
      <c r="N451" s="139"/>
      <c r="O451" s="139"/>
      <c r="P451" s="139"/>
      <c r="Q451" s="139"/>
      <c r="R451" s="138"/>
      <c r="S451" s="137"/>
      <c r="T451" s="137"/>
      <c r="U451" s="137"/>
    </row>
    <row r="452" spans="1:21" s="89" customFormat="1" x14ac:dyDescent="0.25">
      <c r="A452" t="s">
        <v>2233</v>
      </c>
      <c r="B452"/>
      <c r="C452"/>
      <c r="D452" s="136"/>
      <c r="E452" s="136"/>
      <c r="M452" s="139"/>
      <c r="N452" s="139"/>
      <c r="O452" s="139"/>
      <c r="P452" s="139"/>
      <c r="Q452" s="139"/>
      <c r="R452" s="138"/>
      <c r="S452" s="137"/>
      <c r="T452" s="137"/>
      <c r="U452" s="137"/>
    </row>
    <row r="453" spans="1:21" s="89" customFormat="1" x14ac:dyDescent="0.25">
      <c r="A453" t="s">
        <v>2234</v>
      </c>
      <c r="B453"/>
      <c r="C453"/>
      <c r="D453" s="136"/>
      <c r="E453" s="136"/>
      <c r="M453" s="139"/>
      <c r="N453" s="139"/>
      <c r="O453" s="139"/>
      <c r="P453" s="139"/>
      <c r="Q453" s="139"/>
      <c r="R453" s="138"/>
      <c r="S453" s="137"/>
      <c r="T453" s="137"/>
      <c r="U453" s="137"/>
    </row>
    <row r="454" spans="1:21" s="89" customFormat="1" x14ac:dyDescent="0.25">
      <c r="A454"/>
      <c r="B454"/>
      <c r="C454"/>
      <c r="D454" s="136"/>
      <c r="E454" s="136"/>
      <c r="M454" s="139"/>
      <c r="N454" s="139"/>
      <c r="O454" s="139"/>
      <c r="P454" s="139"/>
      <c r="Q454" s="139"/>
      <c r="R454" s="138"/>
      <c r="S454" s="137"/>
      <c r="T454" s="137"/>
      <c r="U454" s="137"/>
    </row>
    <row r="455" spans="1:21" s="89" customFormat="1" x14ac:dyDescent="0.25">
      <c r="A455"/>
      <c r="B455"/>
      <c r="C455"/>
      <c r="D455" s="136"/>
      <c r="E455" s="136"/>
      <c r="M455" s="139"/>
      <c r="N455" s="139"/>
      <c r="O455" s="139"/>
      <c r="P455" s="139"/>
      <c r="Q455" s="139"/>
      <c r="R455" s="138"/>
      <c r="S455" s="137"/>
      <c r="T455" s="137"/>
      <c r="U455" s="137"/>
    </row>
    <row r="456" spans="1:21" s="89" customFormat="1" x14ac:dyDescent="0.25">
      <c r="A456"/>
      <c r="B456"/>
      <c r="C456"/>
      <c r="D456" s="136"/>
      <c r="E456" s="136"/>
      <c r="M456" s="139"/>
      <c r="N456" s="139"/>
      <c r="O456" s="139"/>
      <c r="P456" s="139"/>
      <c r="Q456" s="139"/>
      <c r="R456" s="138"/>
      <c r="S456" s="137"/>
      <c r="T456" s="137"/>
      <c r="U456" s="137"/>
    </row>
    <row r="457" spans="1:21" s="89" customFormat="1" x14ac:dyDescent="0.25">
      <c r="A457"/>
      <c r="B457"/>
      <c r="C457"/>
      <c r="D457" s="136"/>
      <c r="E457" s="136"/>
      <c r="M457" s="139"/>
      <c r="N457" s="139"/>
      <c r="O457" s="139"/>
      <c r="P457" s="139"/>
      <c r="Q457" s="139"/>
      <c r="R457" s="138"/>
      <c r="S457" s="137"/>
      <c r="T457" s="137"/>
      <c r="U457" s="137"/>
    </row>
    <row r="458" spans="1:21" s="89" customFormat="1" x14ac:dyDescent="0.25">
      <c r="A458"/>
      <c r="B458"/>
      <c r="C458"/>
      <c r="D458" s="136"/>
      <c r="E458" s="136"/>
      <c r="M458" s="139"/>
      <c r="N458" s="139"/>
      <c r="O458" s="139"/>
      <c r="P458" s="139"/>
      <c r="Q458" s="139"/>
      <c r="R458" s="138"/>
      <c r="S458" s="137"/>
      <c r="T458" s="137"/>
      <c r="U458" s="137"/>
    </row>
    <row r="459" spans="1:21" s="89" customFormat="1" x14ac:dyDescent="0.25">
      <c r="A459"/>
      <c r="B459"/>
      <c r="C459"/>
      <c r="D459" s="136"/>
      <c r="E459" s="136"/>
      <c r="M459" s="139"/>
      <c r="N459" s="139"/>
      <c r="O459" s="139"/>
      <c r="P459" s="139"/>
      <c r="Q459" s="139"/>
      <c r="R459" s="138"/>
      <c r="S459" s="137"/>
      <c r="T459" s="137"/>
      <c r="U459" s="137"/>
    </row>
    <row r="460" spans="1:21" s="89" customFormat="1" x14ac:dyDescent="0.25">
      <c r="A460"/>
      <c r="B460"/>
      <c r="C460"/>
      <c r="D460" s="136"/>
      <c r="E460" s="136"/>
      <c r="M460" s="139"/>
      <c r="N460" s="139"/>
      <c r="O460" s="139"/>
      <c r="P460" s="139"/>
      <c r="Q460" s="139"/>
      <c r="R460" s="138"/>
      <c r="S460" s="137"/>
      <c r="T460" s="137"/>
      <c r="U460" s="137"/>
    </row>
    <row r="461" spans="1:21" s="89" customFormat="1" x14ac:dyDescent="0.25">
      <c r="A461"/>
      <c r="B461"/>
      <c r="C461"/>
      <c r="D461" s="136"/>
      <c r="E461" s="136"/>
      <c r="M461" s="139"/>
      <c r="N461" s="139"/>
      <c r="O461" s="139"/>
      <c r="P461" s="139"/>
      <c r="Q461" s="139"/>
      <c r="R461" s="138"/>
      <c r="S461" s="137"/>
      <c r="T461" s="137"/>
      <c r="U461" s="137"/>
    </row>
    <row r="462" spans="1:21" s="89" customFormat="1" x14ac:dyDescent="0.25">
      <c r="A462"/>
      <c r="B462"/>
      <c r="C462"/>
      <c r="D462" s="136"/>
      <c r="E462" s="136"/>
      <c r="M462" s="139"/>
      <c r="N462" s="139"/>
      <c r="O462" s="139"/>
      <c r="P462" s="139"/>
      <c r="Q462" s="139"/>
      <c r="R462" s="138"/>
      <c r="S462" s="137"/>
      <c r="T462" s="137"/>
      <c r="U462" s="137"/>
    </row>
    <row r="463" spans="1:21" s="89" customFormat="1" x14ac:dyDescent="0.25">
      <c r="A463"/>
      <c r="B463"/>
      <c r="C463"/>
      <c r="D463" s="136"/>
      <c r="E463" s="136"/>
      <c r="M463" s="139"/>
      <c r="N463" s="139"/>
      <c r="O463" s="139"/>
      <c r="P463" s="139"/>
      <c r="Q463" s="139"/>
      <c r="R463" s="138"/>
      <c r="S463" s="137"/>
      <c r="T463" s="137"/>
      <c r="U463" s="137"/>
    </row>
    <row r="464" spans="1:21" s="89" customFormat="1" x14ac:dyDescent="0.25">
      <c r="A464"/>
      <c r="B464"/>
      <c r="C464"/>
      <c r="D464" s="136"/>
      <c r="E464" s="136"/>
      <c r="M464" s="139"/>
      <c r="N464" s="139"/>
      <c r="O464" s="139"/>
      <c r="P464" s="139"/>
      <c r="Q464" s="139"/>
      <c r="R464" s="138"/>
      <c r="S464" s="137"/>
      <c r="T464" s="137"/>
      <c r="U464" s="137"/>
    </row>
    <row r="465" spans="1:21" s="89" customFormat="1" x14ac:dyDescent="0.25">
      <c r="A465"/>
      <c r="B465"/>
      <c r="C465"/>
      <c r="D465" s="136"/>
      <c r="E465" s="136"/>
      <c r="M465" s="139"/>
      <c r="N465" s="139"/>
      <c r="O465" s="139"/>
      <c r="P465" s="139"/>
      <c r="Q465" s="139"/>
      <c r="R465" s="138"/>
      <c r="S465" s="137"/>
      <c r="T465" s="137"/>
      <c r="U465" s="137"/>
    </row>
    <row r="466" spans="1:21" s="89" customFormat="1" x14ac:dyDescent="0.25">
      <c r="A466"/>
      <c r="B466"/>
      <c r="C466"/>
      <c r="D466" s="136"/>
      <c r="E466" s="136"/>
      <c r="M466" s="139"/>
      <c r="N466" s="139"/>
      <c r="O466" s="139"/>
      <c r="P466" s="139"/>
      <c r="Q466" s="139"/>
      <c r="R466" s="138"/>
      <c r="S466" s="137"/>
      <c r="T466" s="137"/>
      <c r="U466" s="137"/>
    </row>
    <row r="467" spans="1:21" s="89" customFormat="1" x14ac:dyDescent="0.25">
      <c r="A467"/>
      <c r="B467"/>
      <c r="C467"/>
      <c r="D467" s="136"/>
      <c r="E467" s="136"/>
      <c r="M467" s="139"/>
      <c r="N467" s="139"/>
      <c r="O467" s="139"/>
      <c r="P467" s="139"/>
      <c r="Q467" s="139"/>
      <c r="R467" s="138"/>
      <c r="S467" s="137"/>
      <c r="T467" s="137"/>
      <c r="U467" s="137"/>
    </row>
    <row r="468" spans="1:21" s="89" customFormat="1" x14ac:dyDescent="0.25">
      <c r="A468"/>
      <c r="B468"/>
      <c r="C468"/>
      <c r="D468" s="136"/>
      <c r="E468" s="136"/>
      <c r="M468" s="139"/>
      <c r="N468" s="139"/>
      <c r="O468" s="139"/>
      <c r="P468" s="139"/>
      <c r="Q468" s="139"/>
      <c r="R468" s="138"/>
      <c r="S468" s="137"/>
      <c r="T468" s="137"/>
      <c r="U468" s="137"/>
    </row>
    <row r="469" spans="1:21" s="89" customFormat="1" x14ac:dyDescent="0.25">
      <c r="A469"/>
      <c r="B469"/>
      <c r="C469"/>
      <c r="D469" s="136"/>
      <c r="E469" s="136"/>
      <c r="M469" s="139"/>
      <c r="N469" s="139"/>
      <c r="O469" s="139"/>
      <c r="P469" s="139"/>
      <c r="Q469" s="139"/>
      <c r="R469" s="138"/>
      <c r="S469" s="137"/>
      <c r="T469" s="137"/>
      <c r="U469" s="137"/>
    </row>
    <row r="470" spans="1:21" s="89" customFormat="1" x14ac:dyDescent="0.25">
      <c r="A470"/>
      <c r="B470"/>
      <c r="C470"/>
      <c r="D470" s="136"/>
      <c r="E470" s="136"/>
      <c r="M470" s="139"/>
      <c r="N470" s="139"/>
      <c r="O470" s="139"/>
      <c r="P470" s="139"/>
      <c r="Q470" s="139"/>
      <c r="R470" s="138"/>
      <c r="S470" s="137"/>
      <c r="T470" s="137"/>
      <c r="U470" s="137"/>
    </row>
    <row r="471" spans="1:21" s="89" customFormat="1" x14ac:dyDescent="0.25">
      <c r="A471"/>
      <c r="B471"/>
      <c r="C471"/>
      <c r="D471" s="136"/>
      <c r="E471" s="136"/>
      <c r="M471" s="139"/>
      <c r="N471" s="139"/>
      <c r="O471" s="139"/>
      <c r="P471" s="139"/>
      <c r="Q471" s="139"/>
      <c r="R471" s="138"/>
      <c r="S471" s="137"/>
      <c r="T471" s="137"/>
      <c r="U471" s="137"/>
    </row>
    <row r="472" spans="1:21" s="89" customFormat="1" x14ac:dyDescent="0.25">
      <c r="A472"/>
      <c r="B472"/>
      <c r="C472"/>
      <c r="D472" s="136"/>
      <c r="E472" s="136"/>
      <c r="M472" s="139"/>
      <c r="N472" s="139"/>
      <c r="O472" s="139"/>
      <c r="P472" s="139"/>
      <c r="Q472" s="139"/>
      <c r="R472" s="138"/>
      <c r="S472" s="137"/>
      <c r="T472" s="137"/>
      <c r="U472" s="137"/>
    </row>
    <row r="473" spans="1:21" s="89" customFormat="1" x14ac:dyDescent="0.25">
      <c r="A473"/>
      <c r="B473"/>
      <c r="C473"/>
      <c r="D473" s="136"/>
      <c r="E473" s="136"/>
      <c r="M473" s="139"/>
      <c r="N473" s="139"/>
      <c r="O473" s="139"/>
      <c r="P473" s="139"/>
      <c r="Q473" s="139"/>
      <c r="R473" s="138"/>
      <c r="S473" s="137"/>
      <c r="T473" s="137"/>
      <c r="U473" s="137"/>
    </row>
    <row r="474" spans="1:21" s="89" customFormat="1" x14ac:dyDescent="0.25">
      <c r="A474"/>
      <c r="B474"/>
      <c r="C474"/>
      <c r="D474" s="136"/>
      <c r="E474" s="136"/>
      <c r="M474" s="139"/>
      <c r="N474" s="139"/>
      <c r="O474" s="139"/>
      <c r="P474" s="139"/>
      <c r="Q474" s="139"/>
      <c r="R474" s="138"/>
      <c r="S474" s="137"/>
      <c r="T474" s="137"/>
      <c r="U474" s="137"/>
    </row>
    <row r="475" spans="1:21" s="89" customFormat="1" x14ac:dyDescent="0.25">
      <c r="A475"/>
      <c r="B475"/>
      <c r="C475"/>
      <c r="D475" s="136"/>
      <c r="E475" s="136"/>
      <c r="M475" s="139"/>
      <c r="N475" s="139"/>
      <c r="O475" s="139"/>
      <c r="P475" s="139"/>
      <c r="Q475" s="139"/>
      <c r="R475" s="138"/>
      <c r="S475" s="137"/>
      <c r="T475" s="137"/>
      <c r="U475" s="137"/>
    </row>
    <row r="476" spans="1:21" s="89" customFormat="1" x14ac:dyDescent="0.25">
      <c r="A476"/>
      <c r="B476"/>
      <c r="C476"/>
      <c r="D476" s="136"/>
      <c r="E476" s="136"/>
      <c r="M476" s="139"/>
      <c r="N476" s="139"/>
      <c r="O476" s="139"/>
      <c r="P476" s="139"/>
      <c r="Q476" s="139"/>
      <c r="R476" s="138"/>
      <c r="S476" s="137"/>
      <c r="T476" s="137"/>
      <c r="U476" s="137"/>
    </row>
    <row r="477" spans="1:21" s="89" customFormat="1" x14ac:dyDescent="0.25">
      <c r="A477"/>
      <c r="B477"/>
      <c r="C477"/>
      <c r="D477" s="136"/>
      <c r="E477" s="136"/>
      <c r="M477" s="139"/>
      <c r="N477" s="139"/>
      <c r="O477" s="139"/>
      <c r="P477" s="139"/>
      <c r="Q477" s="139"/>
      <c r="R477" s="138"/>
      <c r="S477" s="137"/>
      <c r="T477" s="137"/>
      <c r="U477" s="137"/>
    </row>
    <row r="478" spans="1:21" s="89" customFormat="1" x14ac:dyDescent="0.25">
      <c r="A478"/>
      <c r="B478"/>
      <c r="C478"/>
      <c r="D478" s="136"/>
      <c r="E478" s="136"/>
      <c r="M478" s="139"/>
      <c r="N478" s="139"/>
      <c r="O478" s="139"/>
      <c r="P478" s="139"/>
      <c r="Q478" s="139"/>
      <c r="R478" s="138"/>
      <c r="S478" s="137"/>
      <c r="T478" s="137"/>
      <c r="U478" s="137"/>
    </row>
    <row r="479" spans="1:21" s="89" customFormat="1" x14ac:dyDescent="0.25">
      <c r="A479"/>
      <c r="B479"/>
      <c r="C479"/>
      <c r="D479" s="136"/>
      <c r="E479" s="136"/>
      <c r="M479" s="139"/>
      <c r="N479" s="139"/>
      <c r="O479" s="139"/>
      <c r="P479" s="139"/>
      <c r="Q479" s="139"/>
      <c r="R479" s="138"/>
      <c r="S479" s="137"/>
      <c r="T479" s="137"/>
      <c r="U479" s="137"/>
    </row>
    <row r="480" spans="1:21" s="89" customFormat="1" x14ac:dyDescent="0.25">
      <c r="A480"/>
      <c r="B480"/>
      <c r="C480"/>
      <c r="D480" s="136"/>
      <c r="E480" s="136"/>
      <c r="M480" s="139"/>
      <c r="N480" s="139"/>
      <c r="O480" s="139"/>
      <c r="P480" s="139"/>
      <c r="Q480" s="139"/>
      <c r="R480" s="138"/>
      <c r="S480" s="137"/>
      <c r="T480" s="137"/>
      <c r="U480" s="137"/>
    </row>
    <row r="481" spans="1:21" s="89" customFormat="1" x14ac:dyDescent="0.25">
      <c r="A481"/>
      <c r="B481"/>
      <c r="C481"/>
      <c r="D481" s="136"/>
      <c r="E481" s="136"/>
      <c r="M481" s="139"/>
      <c r="N481" s="139"/>
      <c r="O481" s="139"/>
      <c r="P481" s="139"/>
      <c r="Q481" s="139"/>
      <c r="R481" s="138"/>
      <c r="S481" s="137"/>
      <c r="T481" s="137"/>
      <c r="U481" s="137"/>
    </row>
    <row r="482" spans="1:21" s="89" customFormat="1" x14ac:dyDescent="0.25">
      <c r="A482"/>
      <c r="B482"/>
      <c r="C482"/>
      <c r="D482" s="136"/>
      <c r="E482" s="136"/>
      <c r="M482" s="139"/>
      <c r="N482" s="139"/>
      <c r="O482" s="139"/>
      <c r="P482" s="139"/>
      <c r="Q482" s="139"/>
      <c r="R482" s="138"/>
      <c r="S482" s="137"/>
      <c r="T482" s="137"/>
      <c r="U482" s="137"/>
    </row>
    <row r="483" spans="1:21" s="89" customFormat="1" x14ac:dyDescent="0.25">
      <c r="A483"/>
      <c r="B483"/>
      <c r="C483"/>
      <c r="D483" s="136"/>
      <c r="E483" s="136"/>
      <c r="M483" s="139"/>
      <c r="N483" s="139"/>
      <c r="O483" s="139"/>
      <c r="P483" s="139"/>
      <c r="Q483" s="139"/>
      <c r="R483" s="138"/>
      <c r="S483" s="137"/>
      <c r="T483" s="137"/>
      <c r="U483" s="137"/>
    </row>
    <row r="484" spans="1:21" s="89" customFormat="1" x14ac:dyDescent="0.25">
      <c r="A484"/>
      <c r="B484"/>
      <c r="C484"/>
      <c r="D484" s="136"/>
      <c r="E484" s="136"/>
      <c r="M484" s="139"/>
      <c r="N484" s="139"/>
      <c r="O484" s="139"/>
      <c r="P484" s="139"/>
      <c r="Q484" s="139"/>
      <c r="R484" s="138"/>
      <c r="S484" s="137"/>
      <c r="T484" s="137"/>
      <c r="U484" s="137"/>
    </row>
    <row r="485" spans="1:21" s="89" customFormat="1" x14ac:dyDescent="0.25">
      <c r="A485"/>
      <c r="B485"/>
      <c r="C485"/>
      <c r="D485" s="136"/>
      <c r="E485" s="136"/>
      <c r="M485" s="139"/>
      <c r="N485" s="139"/>
      <c r="O485" s="139"/>
      <c r="P485" s="139"/>
      <c r="Q485" s="139"/>
      <c r="R485" s="138"/>
      <c r="S485" s="137"/>
      <c r="T485" s="137"/>
      <c r="U485" s="137"/>
    </row>
    <row r="486" spans="1:21" s="89" customFormat="1" x14ac:dyDescent="0.25">
      <c r="A486"/>
      <c r="B486"/>
      <c r="C486"/>
      <c r="D486" s="136"/>
      <c r="E486" s="136"/>
      <c r="M486" s="139"/>
      <c r="N486" s="139"/>
      <c r="O486" s="139"/>
      <c r="P486" s="139"/>
      <c r="Q486" s="139"/>
      <c r="R486" s="138"/>
      <c r="S486" s="137"/>
      <c r="T486" s="137"/>
      <c r="U486" s="137"/>
    </row>
    <row r="487" spans="1:21" s="89" customFormat="1" x14ac:dyDescent="0.25">
      <c r="A487"/>
      <c r="B487"/>
      <c r="C487"/>
      <c r="D487" s="136"/>
      <c r="E487" s="136"/>
      <c r="M487" s="139"/>
      <c r="N487" s="139"/>
      <c r="O487" s="139"/>
      <c r="P487" s="139"/>
      <c r="Q487" s="139"/>
      <c r="R487" s="138"/>
      <c r="S487" s="137"/>
      <c r="T487" s="137"/>
      <c r="U487" s="137"/>
    </row>
    <row r="488" spans="1:21" s="89" customFormat="1" x14ac:dyDescent="0.25">
      <c r="A488"/>
      <c r="B488"/>
      <c r="C488"/>
      <c r="D488" s="136"/>
      <c r="E488" s="136"/>
      <c r="M488" s="139"/>
      <c r="N488" s="139"/>
      <c r="O488" s="139"/>
      <c r="P488" s="139"/>
      <c r="Q488" s="139"/>
      <c r="R488" s="138"/>
      <c r="S488" s="137"/>
      <c r="T488" s="137"/>
      <c r="U488" s="137"/>
    </row>
    <row r="489" spans="1:21" s="89" customFormat="1" x14ac:dyDescent="0.25">
      <c r="A489"/>
      <c r="B489"/>
      <c r="C489"/>
      <c r="D489" s="136"/>
      <c r="E489" s="136"/>
      <c r="M489" s="139"/>
      <c r="N489" s="139"/>
      <c r="O489" s="139"/>
      <c r="P489" s="139"/>
      <c r="Q489" s="139"/>
      <c r="R489" s="138"/>
      <c r="S489" s="137"/>
      <c r="T489" s="137"/>
      <c r="U489" s="137"/>
    </row>
    <row r="490" spans="1:21" s="89" customFormat="1" x14ac:dyDescent="0.25">
      <c r="A490"/>
      <c r="B490"/>
      <c r="C490"/>
      <c r="D490" s="136"/>
      <c r="E490" s="136"/>
      <c r="M490" s="139"/>
      <c r="N490" s="139"/>
      <c r="O490" s="139"/>
      <c r="P490" s="139"/>
      <c r="Q490" s="139"/>
      <c r="R490" s="138"/>
      <c r="S490" s="137"/>
      <c r="T490" s="137"/>
      <c r="U490" s="137"/>
    </row>
    <row r="491" spans="1:21" s="89" customFormat="1" x14ac:dyDescent="0.25">
      <c r="A491"/>
      <c r="B491"/>
      <c r="C491"/>
      <c r="D491" s="136"/>
      <c r="E491" s="136"/>
      <c r="M491" s="139"/>
      <c r="N491" s="139"/>
      <c r="O491" s="139"/>
      <c r="P491" s="139"/>
      <c r="Q491" s="139"/>
      <c r="R491" s="138"/>
      <c r="S491" s="137"/>
      <c r="T491" s="137"/>
      <c r="U491" s="137"/>
    </row>
    <row r="492" spans="1:21" s="89" customFormat="1" x14ac:dyDescent="0.25">
      <c r="A492"/>
      <c r="B492"/>
      <c r="C492"/>
      <c r="D492" s="136"/>
      <c r="E492" s="136"/>
      <c r="M492" s="139"/>
      <c r="N492" s="139"/>
      <c r="O492" s="139"/>
      <c r="P492" s="139"/>
      <c r="Q492" s="139"/>
      <c r="R492" s="138"/>
      <c r="S492" s="137"/>
      <c r="T492" s="137"/>
      <c r="U492" s="137"/>
    </row>
    <row r="493" spans="1:21" s="89" customFormat="1" x14ac:dyDescent="0.25">
      <c r="A493"/>
      <c r="B493"/>
      <c r="C493"/>
      <c r="D493" s="136"/>
      <c r="E493" s="136"/>
      <c r="M493" s="139"/>
      <c r="N493" s="139"/>
      <c r="O493" s="139"/>
      <c r="P493" s="139"/>
      <c r="Q493" s="139"/>
      <c r="R493" s="138"/>
      <c r="S493" s="137"/>
      <c r="T493" s="137"/>
      <c r="U493" s="137"/>
    </row>
    <row r="494" spans="1:21" s="89" customFormat="1" x14ac:dyDescent="0.25">
      <c r="A494"/>
      <c r="B494"/>
      <c r="C494"/>
      <c r="D494" s="136"/>
      <c r="E494" s="136"/>
      <c r="M494" s="139"/>
      <c r="N494" s="139"/>
      <c r="O494" s="139"/>
      <c r="P494" s="139"/>
      <c r="Q494" s="139"/>
      <c r="R494" s="138"/>
      <c r="S494" s="137"/>
      <c r="T494" s="137"/>
      <c r="U494" s="137"/>
    </row>
    <row r="495" spans="1:21" s="89" customFormat="1" x14ac:dyDescent="0.25">
      <c r="A495"/>
      <c r="B495"/>
      <c r="C495"/>
      <c r="D495" s="136"/>
      <c r="E495" s="136"/>
      <c r="M495" s="139"/>
      <c r="N495" s="139"/>
      <c r="O495" s="139"/>
      <c r="P495" s="139"/>
      <c r="Q495" s="139"/>
      <c r="R495" s="138"/>
      <c r="S495" s="137"/>
      <c r="T495" s="137"/>
      <c r="U495" s="137"/>
    </row>
    <row r="496" spans="1:21" s="89" customFormat="1" x14ac:dyDescent="0.25">
      <c r="A496"/>
      <c r="B496"/>
      <c r="C496"/>
      <c r="D496" s="136"/>
      <c r="E496" s="136"/>
      <c r="M496" s="139"/>
      <c r="N496" s="139"/>
      <c r="O496" s="139"/>
      <c r="P496" s="139"/>
      <c r="Q496" s="139"/>
      <c r="R496" s="138"/>
      <c r="S496" s="137"/>
      <c r="T496" s="137"/>
      <c r="U496" s="137"/>
    </row>
    <row r="497" spans="1:21" s="89" customFormat="1" x14ac:dyDescent="0.25">
      <c r="A497"/>
      <c r="B497"/>
      <c r="C497"/>
      <c r="D497" s="136"/>
      <c r="E497" s="136"/>
      <c r="M497" s="139"/>
      <c r="N497" s="139"/>
      <c r="O497" s="139"/>
      <c r="P497" s="139"/>
      <c r="Q497" s="139"/>
      <c r="R497" s="138"/>
      <c r="S497" s="137"/>
      <c r="T497" s="137"/>
      <c r="U497" s="137"/>
    </row>
    <row r="498" spans="1:21" s="89" customFormat="1" x14ac:dyDescent="0.25">
      <c r="A498"/>
      <c r="B498"/>
      <c r="C498"/>
      <c r="D498" s="136"/>
      <c r="E498" s="136"/>
      <c r="M498" s="139"/>
      <c r="N498" s="139"/>
      <c r="O498" s="139"/>
      <c r="P498" s="139"/>
      <c r="Q498" s="139"/>
      <c r="R498" s="138"/>
      <c r="S498" s="137"/>
      <c r="T498" s="137"/>
      <c r="U498" s="137"/>
    </row>
    <row r="499" spans="1:21" s="89" customFormat="1" x14ac:dyDescent="0.25">
      <c r="A499"/>
      <c r="B499"/>
      <c r="C499"/>
      <c r="D499" s="136"/>
      <c r="E499" s="136"/>
      <c r="M499" s="139"/>
      <c r="N499" s="139"/>
      <c r="O499" s="139"/>
      <c r="P499" s="139"/>
      <c r="Q499" s="139"/>
      <c r="R499" s="138"/>
      <c r="S499" s="137"/>
      <c r="T499" s="137"/>
      <c r="U499" s="137"/>
    </row>
    <row r="500" spans="1:21" s="89" customFormat="1" x14ac:dyDescent="0.25">
      <c r="A500"/>
      <c r="B500"/>
      <c r="C500"/>
      <c r="D500" s="136"/>
      <c r="E500" s="136"/>
      <c r="M500" s="139"/>
      <c r="N500" s="139"/>
      <c r="O500" s="139"/>
      <c r="P500" s="139"/>
      <c r="Q500" s="139"/>
      <c r="R500" s="138"/>
      <c r="S500" s="137"/>
      <c r="T500" s="137"/>
      <c r="U500" s="137"/>
    </row>
    <row r="501" spans="1:21" s="89" customFormat="1" x14ac:dyDescent="0.25">
      <c r="A501"/>
      <c r="B501"/>
      <c r="C501"/>
      <c r="D501" s="136"/>
      <c r="E501" s="136"/>
      <c r="M501" s="139"/>
      <c r="N501" s="139"/>
      <c r="O501" s="139"/>
      <c r="P501" s="139"/>
      <c r="Q501" s="139"/>
      <c r="R501" s="138"/>
      <c r="S501" s="137"/>
      <c r="T501" s="137"/>
      <c r="U501" s="137"/>
    </row>
    <row r="502" spans="1:21" s="89" customFormat="1" x14ac:dyDescent="0.25">
      <c r="A502"/>
      <c r="B502"/>
      <c r="C502"/>
      <c r="D502" s="136"/>
      <c r="E502" s="136"/>
      <c r="M502" s="139"/>
      <c r="N502" s="139"/>
      <c r="O502" s="139"/>
      <c r="P502" s="139"/>
      <c r="Q502" s="139"/>
      <c r="R502" s="138"/>
      <c r="S502" s="137"/>
      <c r="T502" s="137"/>
      <c r="U502" s="137"/>
    </row>
    <row r="503" spans="1:21" s="89" customFormat="1" ht="15.75" thickBot="1" x14ac:dyDescent="0.3">
      <c r="A503" s="140"/>
      <c r="B503" s="19"/>
      <c r="C503" s="19"/>
      <c r="D503" s="139"/>
      <c r="E503" s="139"/>
      <c r="M503" s="139"/>
      <c r="N503" s="139"/>
      <c r="O503" s="139"/>
      <c r="P503" s="139"/>
      <c r="Q503" s="139"/>
      <c r="R503" s="138"/>
      <c r="S503" s="137"/>
      <c r="T503" s="137"/>
      <c r="U503" s="137"/>
    </row>
    <row r="504" spans="1:21" s="193" customFormat="1" x14ac:dyDescent="0.25">
      <c r="A504" s="198"/>
      <c r="D504" s="199"/>
      <c r="E504" s="199"/>
      <c r="M504" s="199"/>
      <c r="N504" s="199"/>
      <c r="O504" s="199"/>
      <c r="P504" s="199"/>
      <c r="Q504" s="199"/>
      <c r="R504" s="200"/>
      <c r="S504" s="201"/>
      <c r="T504" s="201"/>
      <c r="U504" s="201"/>
    </row>
    <row r="505" spans="1:21" x14ac:dyDescent="0.25">
      <c r="A505" s="59" t="s">
        <v>2038</v>
      </c>
      <c r="D505" s="136"/>
      <c r="E505" s="136"/>
      <c r="O505" s="136"/>
      <c r="S505" s="135"/>
      <c r="T505" s="135"/>
      <c r="U505" s="135"/>
    </row>
    <row r="506" spans="1:21" x14ac:dyDescent="0.25">
      <c r="D506" s="136"/>
      <c r="E506" s="136"/>
      <c r="O506" s="136"/>
      <c r="S506" s="135"/>
      <c r="T506" s="135"/>
      <c r="U506" s="135"/>
    </row>
    <row r="507" spans="1:21" x14ac:dyDescent="0.25">
      <c r="D507" s="136"/>
      <c r="E507" s="136"/>
      <c r="O507" s="136"/>
      <c r="S507" s="135"/>
      <c r="T507" s="135"/>
      <c r="U507" s="135"/>
    </row>
    <row r="508" spans="1:21" x14ac:dyDescent="0.25">
      <c r="D508" s="136"/>
      <c r="E508" s="136"/>
      <c r="O508" s="136"/>
      <c r="S508" s="135"/>
      <c r="T508" s="135"/>
      <c r="U508" s="135"/>
    </row>
    <row r="509" spans="1:21" x14ac:dyDescent="0.25">
      <c r="D509" s="136"/>
      <c r="E509" s="136"/>
      <c r="O509" s="136"/>
      <c r="S509" s="135"/>
      <c r="T509" s="135"/>
      <c r="U509" s="135"/>
    </row>
    <row r="510" spans="1:21" x14ac:dyDescent="0.25">
      <c r="D510" s="136"/>
      <c r="E510" s="136"/>
      <c r="O510" s="136"/>
      <c r="S510" s="135"/>
      <c r="T510" s="135"/>
      <c r="U510" s="135"/>
    </row>
    <row r="511" spans="1:21" x14ac:dyDescent="0.25">
      <c r="D511" s="136"/>
      <c r="E511" s="136"/>
      <c r="O511" s="136"/>
      <c r="Q511" t="s">
        <v>2039</v>
      </c>
      <c r="S511" s="135"/>
      <c r="T511" s="135"/>
      <c r="U511" s="135"/>
    </row>
    <row r="512" spans="1:21" x14ac:dyDescent="0.25">
      <c r="D512" s="136"/>
      <c r="E512" s="136"/>
      <c r="O512" s="136"/>
      <c r="S512" s="135"/>
      <c r="T512" s="135"/>
      <c r="U512" s="135"/>
    </row>
    <row r="513" spans="4:21" x14ac:dyDescent="0.25">
      <c r="D513" s="136"/>
      <c r="E513" s="136"/>
      <c r="O513" s="136"/>
      <c r="S513" s="135"/>
      <c r="T513" s="135"/>
      <c r="U513" s="135"/>
    </row>
    <row r="514" spans="4:21" x14ac:dyDescent="0.25">
      <c r="D514" s="136"/>
      <c r="E514" s="136"/>
      <c r="O514" s="136"/>
      <c r="S514" s="135"/>
      <c r="T514" s="135"/>
      <c r="U514" s="135"/>
    </row>
    <row r="515" spans="4:21" x14ac:dyDescent="0.25">
      <c r="D515" s="136"/>
      <c r="E515" s="136"/>
      <c r="O515" s="136"/>
      <c r="S515" s="135"/>
      <c r="T515" s="135"/>
      <c r="U515" s="135"/>
    </row>
    <row r="516" spans="4:21" x14ac:dyDescent="0.25">
      <c r="D516" s="136"/>
      <c r="E516" s="136"/>
      <c r="O516" s="136"/>
      <c r="S516" s="135"/>
      <c r="T516" s="135"/>
      <c r="U516" s="135"/>
    </row>
    <row r="517" spans="4:21" x14ac:dyDescent="0.25">
      <c r="D517" s="136"/>
      <c r="E517" s="136"/>
      <c r="O517" s="136"/>
      <c r="S517" s="135"/>
      <c r="T517" s="135"/>
      <c r="U517" s="135"/>
    </row>
    <row r="518" spans="4:21" x14ac:dyDescent="0.25">
      <c r="D518" s="136"/>
      <c r="E518" s="136"/>
      <c r="O518" s="136"/>
      <c r="S518" s="135"/>
      <c r="T518" s="135"/>
      <c r="U518" s="135"/>
    </row>
    <row r="519" spans="4:21" x14ac:dyDescent="0.25">
      <c r="D519" s="136"/>
      <c r="E519" s="136"/>
      <c r="O519" s="136"/>
      <c r="S519" s="135"/>
      <c r="T519" s="135"/>
      <c r="U519" s="135"/>
    </row>
    <row r="520" spans="4:21" x14ac:dyDescent="0.25">
      <c r="D520" s="136"/>
      <c r="E520" s="136"/>
      <c r="O520" s="136"/>
      <c r="S520" s="135"/>
      <c r="T520" s="135"/>
      <c r="U520" s="135"/>
    </row>
    <row r="521" spans="4:21" x14ac:dyDescent="0.25">
      <c r="D521" s="136"/>
      <c r="E521" s="136"/>
      <c r="O521" s="136"/>
      <c r="S521" s="135"/>
      <c r="T521" s="135"/>
      <c r="U521" s="135"/>
    </row>
    <row r="522" spans="4:21" x14ac:dyDescent="0.25">
      <c r="D522" s="136"/>
      <c r="E522" s="136"/>
      <c r="O522" s="136"/>
      <c r="S522" s="135"/>
      <c r="T522" s="135"/>
      <c r="U522" s="135"/>
    </row>
    <row r="523" spans="4:21" x14ac:dyDescent="0.25">
      <c r="D523" s="136"/>
      <c r="E523" s="136"/>
      <c r="O523" s="136"/>
      <c r="S523" s="135"/>
      <c r="T523" s="135"/>
      <c r="U523" s="135"/>
    </row>
    <row r="524" spans="4:21" x14ac:dyDescent="0.25">
      <c r="D524" s="136"/>
      <c r="E524" s="136"/>
      <c r="O524" s="136"/>
      <c r="S524" s="135"/>
      <c r="T524" s="135"/>
      <c r="U524" s="135"/>
    </row>
    <row r="525" spans="4:21" x14ac:dyDescent="0.25">
      <c r="D525" s="136"/>
      <c r="E525" s="136"/>
      <c r="O525" s="136"/>
      <c r="S525" s="135"/>
      <c r="T525" s="135"/>
      <c r="U525" s="135"/>
    </row>
    <row r="526" spans="4:21" x14ac:dyDescent="0.25">
      <c r="D526" s="136"/>
      <c r="E526" s="136"/>
      <c r="O526" s="136"/>
      <c r="S526" s="135"/>
      <c r="T526" s="135"/>
      <c r="U526" s="135"/>
    </row>
    <row r="527" spans="4:21" x14ac:dyDescent="0.25">
      <c r="D527" s="136"/>
      <c r="E527" s="136"/>
      <c r="O527" s="136"/>
      <c r="S527" s="135"/>
      <c r="T527" s="135"/>
      <c r="U527" s="135"/>
    </row>
    <row r="528" spans="4:21" x14ac:dyDescent="0.25">
      <c r="D528" s="136"/>
      <c r="E528" s="136"/>
      <c r="O528" s="136"/>
      <c r="S528" s="135"/>
      <c r="T528" s="135"/>
      <c r="U528" s="135"/>
    </row>
    <row r="529" spans="4:21" x14ac:dyDescent="0.25">
      <c r="D529" s="136"/>
      <c r="E529" s="136"/>
      <c r="O529" s="136"/>
      <c r="S529" s="135"/>
      <c r="T529" s="135"/>
      <c r="U529" s="135"/>
    </row>
    <row r="530" spans="4:21" x14ac:dyDescent="0.25">
      <c r="D530" s="136"/>
      <c r="E530" s="136"/>
      <c r="O530" s="136"/>
      <c r="S530" s="135"/>
      <c r="T530" s="135"/>
      <c r="U530" s="135"/>
    </row>
    <row r="531" spans="4:21" x14ac:dyDescent="0.25">
      <c r="D531" s="136"/>
      <c r="E531" s="136"/>
      <c r="O531" s="136"/>
      <c r="S531" s="135"/>
      <c r="T531" s="135"/>
      <c r="U531" s="135"/>
    </row>
    <row r="532" spans="4:21" x14ac:dyDescent="0.25">
      <c r="D532" s="136"/>
      <c r="E532" s="136"/>
      <c r="O532" s="136"/>
      <c r="S532" s="135"/>
      <c r="T532" s="135"/>
      <c r="U532" s="135"/>
    </row>
    <row r="533" spans="4:21" x14ac:dyDescent="0.25">
      <c r="D533" s="136"/>
      <c r="E533" s="136"/>
      <c r="O533" s="136"/>
      <c r="S533" s="135"/>
      <c r="T533" s="135"/>
      <c r="U533" s="135"/>
    </row>
    <row r="534" spans="4:21" x14ac:dyDescent="0.25">
      <c r="D534" s="136"/>
      <c r="E534" s="136"/>
      <c r="O534" s="136"/>
      <c r="S534" s="135"/>
      <c r="T534" s="135"/>
      <c r="U534" s="135"/>
    </row>
    <row r="535" spans="4:21" x14ac:dyDescent="0.25">
      <c r="D535" s="136"/>
      <c r="E535" s="136"/>
      <c r="O535" s="136"/>
      <c r="S535" s="135"/>
      <c r="T535" s="135"/>
      <c r="U535" s="135"/>
    </row>
    <row r="536" spans="4:21" x14ac:dyDescent="0.25">
      <c r="D536" s="136"/>
      <c r="E536" s="136"/>
      <c r="O536" s="136"/>
      <c r="S536" s="135"/>
      <c r="T536" s="135"/>
      <c r="U536" s="135"/>
    </row>
    <row r="537" spans="4:21" x14ac:dyDescent="0.25">
      <c r="D537" s="136"/>
      <c r="E537" s="136"/>
      <c r="O537" s="136"/>
      <c r="S537" s="135"/>
      <c r="T537" s="135"/>
      <c r="U537" s="135"/>
    </row>
    <row r="538" spans="4:21" x14ac:dyDescent="0.25">
      <c r="D538" s="136"/>
      <c r="E538" s="136"/>
      <c r="O538" s="136"/>
      <c r="S538" s="135"/>
      <c r="T538" s="135"/>
      <c r="U538" s="135"/>
    </row>
    <row r="539" spans="4:21" x14ac:dyDescent="0.25">
      <c r="D539" s="136"/>
      <c r="E539" s="136"/>
      <c r="O539" s="136"/>
      <c r="S539" s="135"/>
      <c r="T539" s="135"/>
      <c r="U539" s="135"/>
    </row>
    <row r="540" spans="4:21" x14ac:dyDescent="0.25">
      <c r="D540" s="136"/>
      <c r="E540" s="136"/>
      <c r="O540" s="136"/>
      <c r="S540" s="135"/>
      <c r="T540" s="135"/>
      <c r="U540" s="135"/>
    </row>
    <row r="541" spans="4:21" x14ac:dyDescent="0.25">
      <c r="D541" s="136"/>
      <c r="E541" s="136"/>
      <c r="O541" s="136"/>
      <c r="S541" s="135"/>
      <c r="T541" s="135"/>
      <c r="U541" s="135"/>
    </row>
    <row r="542" spans="4:21" x14ac:dyDescent="0.25">
      <c r="D542" s="136"/>
      <c r="E542" s="136"/>
      <c r="O542" s="136"/>
      <c r="S542" s="135"/>
      <c r="T542" s="135"/>
      <c r="U542" s="135"/>
    </row>
    <row r="543" spans="4:21" x14ac:dyDescent="0.25">
      <c r="D543" s="136"/>
      <c r="E543" s="136"/>
      <c r="O543" s="136"/>
      <c r="S543" s="135"/>
      <c r="T543" s="135"/>
      <c r="U543" s="135"/>
    </row>
    <row r="544" spans="4:21" x14ac:dyDescent="0.25">
      <c r="D544" s="136"/>
      <c r="E544" s="136"/>
      <c r="O544" s="136"/>
      <c r="S544" s="135"/>
      <c r="T544" s="135"/>
      <c r="U544" s="135"/>
    </row>
    <row r="545" spans="1:27" x14ac:dyDescent="0.25">
      <c r="D545" s="136"/>
      <c r="E545" s="136"/>
      <c r="O545" s="136"/>
      <c r="S545" s="135"/>
      <c r="T545" s="135"/>
      <c r="U545" s="135"/>
    </row>
    <row r="547" spans="1:27" x14ac:dyDescent="0.25">
      <c r="B547" s="134" t="s">
        <v>1899</v>
      </c>
      <c r="C547" s="134" t="s">
        <v>1898</v>
      </c>
      <c r="D547" s="134" t="s">
        <v>1897</v>
      </c>
      <c r="E547" s="134" t="s">
        <v>1896</v>
      </c>
      <c r="F547" s="134" t="s">
        <v>1895</v>
      </c>
      <c r="G547" s="134" t="s">
        <v>1894</v>
      </c>
      <c r="H547" s="134" t="s">
        <v>1893</v>
      </c>
      <c r="I547" s="134" t="s">
        <v>1892</v>
      </c>
      <c r="J547" s="134" t="s">
        <v>1891</v>
      </c>
      <c r="K547" s="134" t="s">
        <v>1890</v>
      </c>
      <c r="L547" s="134" t="s">
        <v>1889</v>
      </c>
      <c r="M547" s="134" t="s">
        <v>1888</v>
      </c>
      <c r="N547" s="134" t="s">
        <v>1887</v>
      </c>
      <c r="O547" s="134" t="s">
        <v>1886</v>
      </c>
      <c r="P547" s="134" t="s">
        <v>1885</v>
      </c>
      <c r="Q547" s="134" t="s">
        <v>1884</v>
      </c>
      <c r="R547" s="134" t="s">
        <v>1883</v>
      </c>
      <c r="S547" s="134" t="s">
        <v>1882</v>
      </c>
      <c r="T547" s="134" t="s">
        <v>1881</v>
      </c>
      <c r="U547" s="134" t="s">
        <v>1880</v>
      </c>
      <c r="V547" s="134" t="s">
        <v>1879</v>
      </c>
      <c r="W547" s="134" t="s">
        <v>1878</v>
      </c>
      <c r="X547" s="134" t="s">
        <v>1877</v>
      </c>
      <c r="Z547" s="134" t="s">
        <v>1876</v>
      </c>
      <c r="AA547" s="134" t="s">
        <v>1875</v>
      </c>
    </row>
    <row r="548" spans="1:27" x14ac:dyDescent="0.25">
      <c r="A548" t="s">
        <v>2063</v>
      </c>
      <c r="B548" s="96">
        <v>1</v>
      </c>
      <c r="C548" s="131">
        <f>(N203)*(10^6)</f>
        <v>19500000</v>
      </c>
      <c r="D548" s="131">
        <f>$C$569</f>
        <v>2760.7739999999999</v>
      </c>
      <c r="E548" s="132">
        <f t="shared" ref="E548:E611" si="95">C548/D548</f>
        <v>7063.236614079965</v>
      </c>
      <c r="F548" s="94">
        <f>CH115</f>
        <v>2.7259250271216091</v>
      </c>
      <c r="G548" s="94">
        <f>CH116</f>
        <v>0.39815244721614995</v>
      </c>
      <c r="H548" s="133">
        <f>PI()*((AB123/2)^2-((AB124/2)^2))</f>
        <v>3.1064068158695876E-2</v>
      </c>
      <c r="I548" s="130">
        <f t="shared" ref="I548:I579" si="96">H548*E548</f>
        <v>219.41286360077632</v>
      </c>
      <c r="J548" s="129">
        <f t="shared" ref="J548:J579" si="97">I548*F548</f>
        <v>598.10301616177605</v>
      </c>
      <c r="K548" s="129">
        <f t="shared" ref="K548:K579" si="98">I548*G548</f>
        <v>87.359768593352399</v>
      </c>
      <c r="L548" s="129">
        <f>PI()*(AB123^4-AB124^4)/64</f>
        <v>1.737258011775067E-4</v>
      </c>
      <c r="M548" s="129">
        <f>PI()*(AB123^4-AB124^4)/64</f>
        <v>1.737258011775067E-4</v>
      </c>
      <c r="N548" s="129">
        <v>0</v>
      </c>
      <c r="O548" s="129">
        <f t="shared" ref="O548:O579" si="99">$H$648</f>
        <v>4.2095632813437938</v>
      </c>
      <c r="P548" s="129">
        <f t="shared" ref="P548:P556" si="100">H$650</f>
        <v>0.39609572179891905</v>
      </c>
      <c r="Q548" s="93">
        <f t="shared" ref="Q548:Q579" si="101">F548-O548</f>
        <v>-1.4836382542221846</v>
      </c>
      <c r="R548" s="93">
        <f t="shared" ref="R548:R579" si="102">G548-P548</f>
        <v>2.056725417230898E-3</v>
      </c>
      <c r="S548" s="129">
        <f t="shared" ref="S548:S579" si="103">H548*Q548^2</f>
        <v>6.8377682258902547E-2</v>
      </c>
      <c r="T548" s="129">
        <f t="shared" ref="T548:T579" si="104">H548*R548^2</f>
        <v>1.3140471866209705E-7</v>
      </c>
      <c r="U548" s="129">
        <f t="shared" ref="U548:U579" si="105">H548*Q548*R548</f>
        <v>-9.4790031648888892E-5</v>
      </c>
      <c r="V548" s="128">
        <f t="shared" ref="V548:V579" si="106">E548*(L548+T548)</f>
        <v>1.2279945823074585</v>
      </c>
      <c r="W548" s="128">
        <f t="shared" ref="W548:W579" si="107">E548*(M548+S548)</f>
        <v>484.19481535669388</v>
      </c>
      <c r="X548" s="128">
        <f t="shared" ref="X548:X579" si="108">E548*(N548+U548)</f>
        <v>-0.66952442219223074</v>
      </c>
      <c r="Z548" s="68"/>
      <c r="AA548" s="68"/>
    </row>
    <row r="549" spans="1:27" x14ac:dyDescent="0.25">
      <c r="B549" s="96">
        <v>2</v>
      </c>
      <c r="C549" s="131">
        <f>(N203)*(10^6)</f>
        <v>19500000</v>
      </c>
      <c r="D549" s="131">
        <f t="shared" ref="D549:D612" si="109">$C$569</f>
        <v>2760.7739999999999</v>
      </c>
      <c r="E549" s="132">
        <f t="shared" si="95"/>
        <v>7063.236614079965</v>
      </c>
      <c r="F549" s="132">
        <f>Q134</f>
        <v>5.7009638490813632</v>
      </c>
      <c r="G549" s="93">
        <f>S134</f>
        <v>0.39616287543559164</v>
      </c>
      <c r="H549" s="133">
        <f>PI()*((AB123/2)^2-((AB124/2)^2))</f>
        <v>3.1064068158695876E-2</v>
      </c>
      <c r="I549" s="130">
        <f t="shared" si="96"/>
        <v>219.41286360077632</v>
      </c>
      <c r="J549" s="129">
        <f t="shared" si="97"/>
        <v>1250.8648034114458</v>
      </c>
      <c r="K549" s="129">
        <f t="shared" si="98"/>
        <v>86.923230951640804</v>
      </c>
      <c r="L549" s="129">
        <f>PI()*(AB123^4-AB124^4)/64</f>
        <v>1.737258011775067E-4</v>
      </c>
      <c r="M549" s="129">
        <f>PI()*(AB123^4-AB124^4)/64</f>
        <v>1.737258011775067E-4</v>
      </c>
      <c r="N549" s="129">
        <v>0</v>
      </c>
      <c r="O549" s="129">
        <f t="shared" si="99"/>
        <v>4.2095632813437938</v>
      </c>
      <c r="P549" s="129">
        <f t="shared" si="100"/>
        <v>0.39609572179891905</v>
      </c>
      <c r="Q549" s="93">
        <f t="shared" si="101"/>
        <v>1.4914005677375695</v>
      </c>
      <c r="R549" s="93">
        <f t="shared" si="102"/>
        <v>6.715363667259E-5</v>
      </c>
      <c r="S549" s="129">
        <f t="shared" si="103"/>
        <v>6.9095050502434766E-2</v>
      </c>
      <c r="T549" s="129">
        <f t="shared" si="104"/>
        <v>1.4008686093695472E-10</v>
      </c>
      <c r="U549" s="129">
        <f t="shared" si="105"/>
        <v>3.111158744128374E-6</v>
      </c>
      <c r="V549" s="128">
        <f t="shared" si="106"/>
        <v>1.2270674291539869</v>
      </c>
      <c r="W549" s="128">
        <f t="shared" si="107"/>
        <v>489.26175700018888</v>
      </c>
      <c r="X549" s="128">
        <f t="shared" si="108"/>
        <v>2.1974850353742574E-2</v>
      </c>
      <c r="Z549" s="68"/>
      <c r="AA549" s="68"/>
    </row>
    <row r="550" spans="1:27" x14ac:dyDescent="0.25">
      <c r="B550" s="96">
        <v>3</v>
      </c>
      <c r="C550" s="131">
        <v>0</v>
      </c>
      <c r="D550" s="131">
        <f t="shared" si="109"/>
        <v>2760.7739999999999</v>
      </c>
      <c r="E550" s="132">
        <f t="shared" si="95"/>
        <v>0</v>
      </c>
      <c r="F550" s="131">
        <v>0</v>
      </c>
      <c r="G550" s="131">
        <v>0</v>
      </c>
      <c r="H550" s="131">
        <v>0</v>
      </c>
      <c r="I550" s="130">
        <f t="shared" si="96"/>
        <v>0</v>
      </c>
      <c r="J550" s="129">
        <f t="shared" si="97"/>
        <v>0</v>
      </c>
      <c r="K550" s="129">
        <f t="shared" si="98"/>
        <v>0</v>
      </c>
      <c r="L550" s="129">
        <v>0</v>
      </c>
      <c r="M550" s="129">
        <v>0</v>
      </c>
      <c r="N550" s="129">
        <v>0</v>
      </c>
      <c r="O550" s="129">
        <f t="shared" si="99"/>
        <v>4.2095632813437938</v>
      </c>
      <c r="P550" s="129">
        <f t="shared" si="100"/>
        <v>0.39609572179891905</v>
      </c>
      <c r="Q550" s="93">
        <f t="shared" si="101"/>
        <v>-4.2095632813437938</v>
      </c>
      <c r="R550" s="93">
        <f t="shared" si="102"/>
        <v>-0.39609572179891905</v>
      </c>
      <c r="S550" s="129">
        <f t="shared" si="103"/>
        <v>0</v>
      </c>
      <c r="T550" s="129">
        <f t="shared" si="104"/>
        <v>0</v>
      </c>
      <c r="U550" s="129">
        <f t="shared" si="105"/>
        <v>0</v>
      </c>
      <c r="V550" s="128">
        <f t="shared" si="106"/>
        <v>0</v>
      </c>
      <c r="W550" s="128">
        <f t="shared" si="107"/>
        <v>0</v>
      </c>
      <c r="X550" s="128">
        <f t="shared" si="108"/>
        <v>0</v>
      </c>
      <c r="Z550" s="68"/>
      <c r="AA550" s="68"/>
    </row>
    <row r="551" spans="1:27" x14ac:dyDescent="0.25">
      <c r="B551" s="96">
        <v>4</v>
      </c>
      <c r="C551" s="131">
        <v>0</v>
      </c>
      <c r="D551" s="131">
        <f t="shared" si="109"/>
        <v>2760.7739999999999</v>
      </c>
      <c r="E551" s="132">
        <f t="shared" si="95"/>
        <v>0</v>
      </c>
      <c r="F551" s="131">
        <v>0</v>
      </c>
      <c r="G551" s="131">
        <v>0</v>
      </c>
      <c r="H551" s="131">
        <v>0</v>
      </c>
      <c r="I551" s="130">
        <f t="shared" si="96"/>
        <v>0</v>
      </c>
      <c r="J551" s="129">
        <f t="shared" si="97"/>
        <v>0</v>
      </c>
      <c r="K551" s="129">
        <f t="shared" si="98"/>
        <v>0</v>
      </c>
      <c r="L551" s="129">
        <v>0</v>
      </c>
      <c r="M551" s="129">
        <v>0</v>
      </c>
      <c r="N551" s="129">
        <v>0</v>
      </c>
      <c r="O551" s="129">
        <f t="shared" si="99"/>
        <v>4.2095632813437938</v>
      </c>
      <c r="P551" s="129">
        <f t="shared" si="100"/>
        <v>0.39609572179891905</v>
      </c>
      <c r="Q551" s="93">
        <f t="shared" si="101"/>
        <v>-4.2095632813437938</v>
      </c>
      <c r="R551" s="93">
        <f t="shared" si="102"/>
        <v>-0.39609572179891905</v>
      </c>
      <c r="S551" s="129">
        <f t="shared" si="103"/>
        <v>0</v>
      </c>
      <c r="T551" s="129">
        <f t="shared" si="104"/>
        <v>0</v>
      </c>
      <c r="U551" s="129">
        <f t="shared" si="105"/>
        <v>0</v>
      </c>
      <c r="V551" s="128">
        <f t="shared" si="106"/>
        <v>0</v>
      </c>
      <c r="W551" s="128">
        <f t="shared" si="107"/>
        <v>0</v>
      </c>
      <c r="X551" s="128">
        <f t="shared" si="108"/>
        <v>0</v>
      </c>
      <c r="Z551" s="68"/>
      <c r="AA551" s="68"/>
    </row>
    <row r="552" spans="1:27" x14ac:dyDescent="0.25">
      <c r="B552" s="96">
        <v>5</v>
      </c>
      <c r="C552" s="131">
        <v>0</v>
      </c>
      <c r="D552" s="131">
        <f t="shared" si="109"/>
        <v>2760.7739999999999</v>
      </c>
      <c r="E552" s="132">
        <f t="shared" si="95"/>
        <v>0</v>
      </c>
      <c r="F552" s="131">
        <v>0</v>
      </c>
      <c r="G552" s="131">
        <v>0</v>
      </c>
      <c r="H552" s="131">
        <v>0</v>
      </c>
      <c r="I552" s="130">
        <f t="shared" si="96"/>
        <v>0</v>
      </c>
      <c r="J552" s="129">
        <f t="shared" si="97"/>
        <v>0</v>
      </c>
      <c r="K552" s="129">
        <f t="shared" si="98"/>
        <v>0</v>
      </c>
      <c r="L552" s="129">
        <v>0</v>
      </c>
      <c r="M552" s="129">
        <v>0</v>
      </c>
      <c r="N552" s="129">
        <v>0</v>
      </c>
      <c r="O552" s="129">
        <f t="shared" si="99"/>
        <v>4.2095632813437938</v>
      </c>
      <c r="P552" s="129">
        <f t="shared" si="100"/>
        <v>0.39609572179891905</v>
      </c>
      <c r="Q552" s="93">
        <f t="shared" si="101"/>
        <v>-4.2095632813437938</v>
      </c>
      <c r="R552" s="93">
        <f t="shared" si="102"/>
        <v>-0.39609572179891905</v>
      </c>
      <c r="S552" s="129">
        <f t="shared" si="103"/>
        <v>0</v>
      </c>
      <c r="T552" s="129">
        <f t="shared" si="104"/>
        <v>0</v>
      </c>
      <c r="U552" s="129">
        <f t="shared" si="105"/>
        <v>0</v>
      </c>
      <c r="V552" s="128">
        <f t="shared" si="106"/>
        <v>0</v>
      </c>
      <c r="W552" s="128">
        <f t="shared" si="107"/>
        <v>0</v>
      </c>
      <c r="X552" s="128">
        <f t="shared" si="108"/>
        <v>0</v>
      </c>
      <c r="Z552" s="68"/>
      <c r="AA552" s="68"/>
    </row>
    <row r="553" spans="1:27" x14ac:dyDescent="0.25">
      <c r="B553" s="96">
        <v>6</v>
      </c>
      <c r="C553" s="131">
        <v>0</v>
      </c>
      <c r="D553" s="131">
        <f t="shared" si="109"/>
        <v>2760.7739999999999</v>
      </c>
      <c r="E553" s="132">
        <f t="shared" si="95"/>
        <v>0</v>
      </c>
      <c r="F553" s="131">
        <v>0</v>
      </c>
      <c r="G553" s="131">
        <v>0</v>
      </c>
      <c r="H553" s="131">
        <v>0</v>
      </c>
      <c r="I553" s="130">
        <f t="shared" si="96"/>
        <v>0</v>
      </c>
      <c r="J553" s="129">
        <f t="shared" si="97"/>
        <v>0</v>
      </c>
      <c r="K553" s="129">
        <f t="shared" si="98"/>
        <v>0</v>
      </c>
      <c r="L553" s="129">
        <v>0</v>
      </c>
      <c r="M553" s="129">
        <v>0</v>
      </c>
      <c r="N553" s="129">
        <v>0</v>
      </c>
      <c r="O553" s="129">
        <f t="shared" si="99"/>
        <v>4.2095632813437938</v>
      </c>
      <c r="P553" s="129">
        <f t="shared" si="100"/>
        <v>0.39609572179891905</v>
      </c>
      <c r="Q553" s="93">
        <f t="shared" si="101"/>
        <v>-4.2095632813437938</v>
      </c>
      <c r="R553" s="93">
        <f t="shared" si="102"/>
        <v>-0.39609572179891905</v>
      </c>
      <c r="S553" s="129">
        <f t="shared" si="103"/>
        <v>0</v>
      </c>
      <c r="T553" s="129">
        <f t="shared" si="104"/>
        <v>0</v>
      </c>
      <c r="U553" s="129">
        <f t="shared" si="105"/>
        <v>0</v>
      </c>
      <c r="V553" s="128">
        <f t="shared" si="106"/>
        <v>0</v>
      </c>
      <c r="W553" s="128">
        <f t="shared" si="107"/>
        <v>0</v>
      </c>
      <c r="X553" s="128">
        <f t="shared" si="108"/>
        <v>0</v>
      </c>
      <c r="Z553" s="68"/>
      <c r="AA553" s="68"/>
    </row>
    <row r="554" spans="1:27" x14ac:dyDescent="0.25">
      <c r="B554" s="96">
        <v>7</v>
      </c>
      <c r="C554" s="131">
        <v>0</v>
      </c>
      <c r="D554" s="131">
        <f t="shared" si="109"/>
        <v>2760.7739999999999</v>
      </c>
      <c r="E554" s="132">
        <f t="shared" si="95"/>
        <v>0</v>
      </c>
      <c r="F554" s="131">
        <v>0</v>
      </c>
      <c r="G554" s="131">
        <v>0</v>
      </c>
      <c r="H554" s="131">
        <v>0</v>
      </c>
      <c r="I554" s="130">
        <f t="shared" si="96"/>
        <v>0</v>
      </c>
      <c r="J554" s="129">
        <f t="shared" si="97"/>
        <v>0</v>
      </c>
      <c r="K554" s="129">
        <f t="shared" si="98"/>
        <v>0</v>
      </c>
      <c r="L554" s="129">
        <v>0</v>
      </c>
      <c r="M554" s="129">
        <v>0</v>
      </c>
      <c r="N554" s="129">
        <v>0</v>
      </c>
      <c r="O554" s="129">
        <f t="shared" si="99"/>
        <v>4.2095632813437938</v>
      </c>
      <c r="P554" s="129">
        <f t="shared" si="100"/>
        <v>0.39609572179891905</v>
      </c>
      <c r="Q554" s="93">
        <f t="shared" si="101"/>
        <v>-4.2095632813437938</v>
      </c>
      <c r="R554" s="93">
        <f t="shared" si="102"/>
        <v>-0.39609572179891905</v>
      </c>
      <c r="S554" s="129">
        <f t="shared" si="103"/>
        <v>0</v>
      </c>
      <c r="T554" s="129">
        <f t="shared" si="104"/>
        <v>0</v>
      </c>
      <c r="U554" s="129">
        <f t="shared" si="105"/>
        <v>0</v>
      </c>
      <c r="V554" s="128">
        <f t="shared" si="106"/>
        <v>0</v>
      </c>
      <c r="W554" s="128">
        <f t="shared" si="107"/>
        <v>0</v>
      </c>
      <c r="X554" s="128">
        <f t="shared" si="108"/>
        <v>0</v>
      </c>
      <c r="Z554" s="68"/>
      <c r="AA554" s="68"/>
    </row>
    <row r="555" spans="1:27" x14ac:dyDescent="0.25">
      <c r="B555" s="96">
        <v>8</v>
      </c>
      <c r="C555" s="131">
        <v>0</v>
      </c>
      <c r="D555" s="131">
        <f t="shared" si="109"/>
        <v>2760.7739999999999</v>
      </c>
      <c r="E555" s="132">
        <f t="shared" si="95"/>
        <v>0</v>
      </c>
      <c r="F555" s="131">
        <v>0</v>
      </c>
      <c r="G555" s="131">
        <v>0</v>
      </c>
      <c r="H555" s="131">
        <v>0</v>
      </c>
      <c r="I555" s="130">
        <f t="shared" si="96"/>
        <v>0</v>
      </c>
      <c r="J555" s="129">
        <f t="shared" si="97"/>
        <v>0</v>
      </c>
      <c r="K555" s="129">
        <f t="shared" si="98"/>
        <v>0</v>
      </c>
      <c r="L555" s="129">
        <v>0</v>
      </c>
      <c r="M555" s="129">
        <v>0</v>
      </c>
      <c r="N555" s="129">
        <v>0</v>
      </c>
      <c r="O555" s="129">
        <f t="shared" si="99"/>
        <v>4.2095632813437938</v>
      </c>
      <c r="P555" s="129">
        <f t="shared" si="100"/>
        <v>0.39609572179891905</v>
      </c>
      <c r="Q555" s="93">
        <f t="shared" si="101"/>
        <v>-4.2095632813437938</v>
      </c>
      <c r="R555" s="93">
        <f t="shared" si="102"/>
        <v>-0.39609572179891905</v>
      </c>
      <c r="S555" s="129">
        <f t="shared" si="103"/>
        <v>0</v>
      </c>
      <c r="T555" s="129">
        <f t="shared" si="104"/>
        <v>0</v>
      </c>
      <c r="U555" s="129">
        <f t="shared" si="105"/>
        <v>0</v>
      </c>
      <c r="V555" s="128">
        <f t="shared" si="106"/>
        <v>0</v>
      </c>
      <c r="W555" s="128">
        <f t="shared" si="107"/>
        <v>0</v>
      </c>
      <c r="X555" s="128">
        <f t="shared" si="108"/>
        <v>0</v>
      </c>
      <c r="Z555" s="68"/>
      <c r="AA555" s="68"/>
    </row>
    <row r="556" spans="1:27" x14ac:dyDescent="0.25">
      <c r="B556" s="96">
        <v>9</v>
      </c>
      <c r="C556" s="125">
        <v>0</v>
      </c>
      <c r="D556" s="125">
        <f t="shared" si="109"/>
        <v>2760.7739999999999</v>
      </c>
      <c r="E556" s="126">
        <f t="shared" si="95"/>
        <v>0</v>
      </c>
      <c r="F556" s="127">
        <v>0</v>
      </c>
      <c r="G556" s="127">
        <v>0</v>
      </c>
      <c r="H556" s="123">
        <v>0</v>
      </c>
      <c r="I556" s="124">
        <f t="shared" si="96"/>
        <v>0</v>
      </c>
      <c r="J556" s="122">
        <f t="shared" si="97"/>
        <v>0</v>
      </c>
      <c r="K556" s="122">
        <f t="shared" si="98"/>
        <v>0</v>
      </c>
      <c r="L556" s="122">
        <f>(0*(T140^3))/12</f>
        <v>0</v>
      </c>
      <c r="M556" s="122">
        <f>T140*(0^3)/12</f>
        <v>0</v>
      </c>
      <c r="N556" s="122">
        <v>0</v>
      </c>
      <c r="O556" s="122">
        <f t="shared" si="99"/>
        <v>4.2095632813437938</v>
      </c>
      <c r="P556" s="122">
        <f t="shared" si="100"/>
        <v>0.39609572179891905</v>
      </c>
      <c r="Q556" s="123">
        <f t="shared" si="101"/>
        <v>-4.2095632813437938</v>
      </c>
      <c r="R556" s="123">
        <f t="shared" si="102"/>
        <v>-0.39609572179891905</v>
      </c>
      <c r="S556" s="122">
        <f t="shared" si="103"/>
        <v>0</v>
      </c>
      <c r="T556" s="122">
        <f t="shared" si="104"/>
        <v>0</v>
      </c>
      <c r="U556" s="122">
        <f t="shared" si="105"/>
        <v>0</v>
      </c>
      <c r="V556" s="121">
        <f t="shared" si="106"/>
        <v>0</v>
      </c>
      <c r="W556" s="121">
        <f t="shared" si="107"/>
        <v>0</v>
      </c>
      <c r="X556" s="121">
        <f t="shared" si="108"/>
        <v>0</v>
      </c>
      <c r="Z556" s="120"/>
      <c r="AA556" s="120"/>
    </row>
    <row r="557" spans="1:27" x14ac:dyDescent="0.25">
      <c r="B557" s="96">
        <v>10</v>
      </c>
      <c r="C557" s="125">
        <v>0</v>
      </c>
      <c r="D557" s="125">
        <f t="shared" si="109"/>
        <v>2760.7739999999999</v>
      </c>
      <c r="E557" s="126">
        <f t="shared" si="95"/>
        <v>0</v>
      </c>
      <c r="F557" s="125">
        <v>0</v>
      </c>
      <c r="G557" s="125">
        <v>0</v>
      </c>
      <c r="H557" s="125">
        <v>0</v>
      </c>
      <c r="I557" s="124">
        <f t="shared" si="96"/>
        <v>0</v>
      </c>
      <c r="J557" s="122">
        <f t="shared" si="97"/>
        <v>0</v>
      </c>
      <c r="K557" s="122">
        <f t="shared" si="98"/>
        <v>0</v>
      </c>
      <c r="L557" s="122">
        <v>0</v>
      </c>
      <c r="M557" s="122">
        <v>0</v>
      </c>
      <c r="N557" s="122">
        <v>0</v>
      </c>
      <c r="O557" s="122">
        <f t="shared" si="99"/>
        <v>4.2095632813437938</v>
      </c>
      <c r="P557" s="122">
        <f>H650</f>
        <v>0.39609572179891905</v>
      </c>
      <c r="Q557" s="123">
        <f t="shared" si="101"/>
        <v>-4.2095632813437938</v>
      </c>
      <c r="R557" s="123">
        <f t="shared" si="102"/>
        <v>-0.39609572179891905</v>
      </c>
      <c r="S557" s="122">
        <f t="shared" si="103"/>
        <v>0</v>
      </c>
      <c r="T557" s="122">
        <f t="shared" si="104"/>
        <v>0</v>
      </c>
      <c r="U557" s="122">
        <f t="shared" si="105"/>
        <v>0</v>
      </c>
      <c r="V557" s="121">
        <f t="shared" si="106"/>
        <v>0</v>
      </c>
      <c r="W557" s="121">
        <f t="shared" si="107"/>
        <v>0</v>
      </c>
      <c r="X557" s="121">
        <f t="shared" si="108"/>
        <v>0</v>
      </c>
      <c r="Z557" s="120"/>
      <c r="AA557" s="120"/>
    </row>
    <row r="558" spans="1:27" x14ac:dyDescent="0.25">
      <c r="B558" s="96">
        <v>11</v>
      </c>
      <c r="C558" s="125">
        <v>0</v>
      </c>
      <c r="D558" s="125">
        <f t="shared" si="109"/>
        <v>2760.7739999999999</v>
      </c>
      <c r="E558" s="126">
        <f t="shared" si="95"/>
        <v>0</v>
      </c>
      <c r="F558" s="125">
        <v>0</v>
      </c>
      <c r="G558" s="125">
        <v>0</v>
      </c>
      <c r="H558" s="125">
        <v>0</v>
      </c>
      <c r="I558" s="124">
        <f t="shared" si="96"/>
        <v>0</v>
      </c>
      <c r="J558" s="122">
        <f t="shared" si="97"/>
        <v>0</v>
      </c>
      <c r="K558" s="122">
        <f t="shared" si="98"/>
        <v>0</v>
      </c>
      <c r="L558" s="122">
        <v>0</v>
      </c>
      <c r="M558" s="122">
        <v>0</v>
      </c>
      <c r="N558" s="122">
        <v>0</v>
      </c>
      <c r="O558" s="122">
        <f t="shared" si="99"/>
        <v>4.2095632813437938</v>
      </c>
      <c r="P558" s="122">
        <f>H650</f>
        <v>0.39609572179891905</v>
      </c>
      <c r="Q558" s="123">
        <f t="shared" si="101"/>
        <v>-4.2095632813437938</v>
      </c>
      <c r="R558" s="123">
        <f t="shared" si="102"/>
        <v>-0.39609572179891905</v>
      </c>
      <c r="S558" s="122">
        <f t="shared" si="103"/>
        <v>0</v>
      </c>
      <c r="T558" s="122">
        <f t="shared" si="104"/>
        <v>0</v>
      </c>
      <c r="U558" s="122">
        <f t="shared" si="105"/>
        <v>0</v>
      </c>
      <c r="V558" s="121">
        <f t="shared" si="106"/>
        <v>0</v>
      </c>
      <c r="W558" s="121">
        <f t="shared" si="107"/>
        <v>0</v>
      </c>
      <c r="X558" s="121">
        <f t="shared" si="108"/>
        <v>0</v>
      </c>
      <c r="Z558" s="120"/>
      <c r="AA558" s="120"/>
    </row>
    <row r="559" spans="1:27" x14ac:dyDescent="0.25">
      <c r="B559" s="96">
        <v>12</v>
      </c>
      <c r="C559" s="125">
        <v>0</v>
      </c>
      <c r="D559" s="125">
        <f t="shared" si="109"/>
        <v>2760.7739999999999</v>
      </c>
      <c r="E559" s="126">
        <f t="shared" si="95"/>
        <v>0</v>
      </c>
      <c r="F559" s="125">
        <v>0</v>
      </c>
      <c r="G559" s="125">
        <v>0</v>
      </c>
      <c r="H559" s="125">
        <v>0</v>
      </c>
      <c r="I559" s="124">
        <f t="shared" si="96"/>
        <v>0</v>
      </c>
      <c r="J559" s="122">
        <f t="shared" si="97"/>
        <v>0</v>
      </c>
      <c r="K559" s="122">
        <f t="shared" si="98"/>
        <v>0</v>
      </c>
      <c r="L559" s="122">
        <v>0</v>
      </c>
      <c r="M559" s="122">
        <v>0</v>
      </c>
      <c r="N559" s="122">
        <v>0</v>
      </c>
      <c r="O559" s="122">
        <f t="shared" si="99"/>
        <v>4.2095632813437938</v>
      </c>
      <c r="P559" s="122">
        <f>H650</f>
        <v>0.39609572179891905</v>
      </c>
      <c r="Q559" s="123">
        <f t="shared" si="101"/>
        <v>-4.2095632813437938</v>
      </c>
      <c r="R559" s="123">
        <f t="shared" si="102"/>
        <v>-0.39609572179891905</v>
      </c>
      <c r="S559" s="122">
        <f t="shared" si="103"/>
        <v>0</v>
      </c>
      <c r="T559" s="122">
        <f t="shared" si="104"/>
        <v>0</v>
      </c>
      <c r="U559" s="122">
        <f t="shared" si="105"/>
        <v>0</v>
      </c>
      <c r="V559" s="121">
        <f t="shared" si="106"/>
        <v>0</v>
      </c>
      <c r="W559" s="121">
        <f t="shared" si="107"/>
        <v>0</v>
      </c>
      <c r="X559" s="121">
        <f t="shared" si="108"/>
        <v>0</v>
      </c>
      <c r="Z559" s="120"/>
      <c r="AA559" s="120"/>
    </row>
    <row r="560" spans="1:27" x14ac:dyDescent="0.25">
      <c r="B560" s="96">
        <v>13</v>
      </c>
      <c r="C560" s="125">
        <v>0</v>
      </c>
      <c r="D560" s="125">
        <f t="shared" si="109"/>
        <v>2760.7739999999999</v>
      </c>
      <c r="E560" s="126">
        <f t="shared" si="95"/>
        <v>0</v>
      </c>
      <c r="F560" s="125">
        <v>0</v>
      </c>
      <c r="G560" s="125">
        <v>0</v>
      </c>
      <c r="H560" s="125">
        <v>0</v>
      </c>
      <c r="I560" s="124">
        <f t="shared" si="96"/>
        <v>0</v>
      </c>
      <c r="J560" s="122">
        <f t="shared" si="97"/>
        <v>0</v>
      </c>
      <c r="K560" s="122">
        <f t="shared" si="98"/>
        <v>0</v>
      </c>
      <c r="L560" s="122">
        <v>0</v>
      </c>
      <c r="M560" s="122">
        <v>0</v>
      </c>
      <c r="N560" s="122">
        <v>0</v>
      </c>
      <c r="O560" s="122">
        <f t="shared" si="99"/>
        <v>4.2095632813437938</v>
      </c>
      <c r="P560" s="122">
        <f>H650</f>
        <v>0.39609572179891905</v>
      </c>
      <c r="Q560" s="123">
        <f t="shared" si="101"/>
        <v>-4.2095632813437938</v>
      </c>
      <c r="R560" s="123">
        <f t="shared" si="102"/>
        <v>-0.39609572179891905</v>
      </c>
      <c r="S560" s="122">
        <f t="shared" si="103"/>
        <v>0</v>
      </c>
      <c r="T560" s="122">
        <f t="shared" si="104"/>
        <v>0</v>
      </c>
      <c r="U560" s="122">
        <f t="shared" si="105"/>
        <v>0</v>
      </c>
      <c r="V560" s="121">
        <f t="shared" si="106"/>
        <v>0</v>
      </c>
      <c r="W560" s="121">
        <f t="shared" si="107"/>
        <v>0</v>
      </c>
      <c r="X560" s="121">
        <f t="shared" si="108"/>
        <v>0</v>
      </c>
      <c r="Z560" s="120"/>
      <c r="AA560" s="120"/>
    </row>
    <row r="561" spans="1:30" x14ac:dyDescent="0.25">
      <c r="B561" s="96">
        <v>14</v>
      </c>
      <c r="C561" s="125">
        <v>0</v>
      </c>
      <c r="D561" s="125">
        <f t="shared" si="109"/>
        <v>2760.7739999999999</v>
      </c>
      <c r="E561" s="126">
        <f t="shared" si="95"/>
        <v>0</v>
      </c>
      <c r="F561" s="125">
        <v>0</v>
      </c>
      <c r="G561" s="125">
        <v>0</v>
      </c>
      <c r="H561" s="125">
        <v>0</v>
      </c>
      <c r="I561" s="124">
        <f t="shared" si="96"/>
        <v>0</v>
      </c>
      <c r="J561" s="122">
        <f t="shared" si="97"/>
        <v>0</v>
      </c>
      <c r="K561" s="122">
        <f t="shared" si="98"/>
        <v>0</v>
      </c>
      <c r="L561" s="122">
        <v>0</v>
      </c>
      <c r="M561" s="122">
        <v>0</v>
      </c>
      <c r="N561" s="122">
        <v>0</v>
      </c>
      <c r="O561" s="122">
        <f t="shared" si="99"/>
        <v>4.2095632813437938</v>
      </c>
      <c r="P561" s="122">
        <f>H650</f>
        <v>0.39609572179891905</v>
      </c>
      <c r="Q561" s="123">
        <f t="shared" si="101"/>
        <v>-4.2095632813437938</v>
      </c>
      <c r="R561" s="123">
        <f t="shared" si="102"/>
        <v>-0.39609572179891905</v>
      </c>
      <c r="S561" s="122">
        <f t="shared" si="103"/>
        <v>0</v>
      </c>
      <c r="T561" s="122">
        <f t="shared" si="104"/>
        <v>0</v>
      </c>
      <c r="U561" s="122">
        <f t="shared" si="105"/>
        <v>0</v>
      </c>
      <c r="V561" s="121">
        <f t="shared" si="106"/>
        <v>0</v>
      </c>
      <c r="W561" s="121">
        <f t="shared" si="107"/>
        <v>0</v>
      </c>
      <c r="X561" s="121">
        <f t="shared" si="108"/>
        <v>0</v>
      </c>
      <c r="Z561" s="120"/>
      <c r="AA561" s="120"/>
    </row>
    <row r="562" spans="1:30" x14ac:dyDescent="0.25">
      <c r="B562" s="96">
        <v>15</v>
      </c>
      <c r="C562" s="125">
        <v>0</v>
      </c>
      <c r="D562" s="125">
        <f t="shared" si="109"/>
        <v>2760.7739999999999</v>
      </c>
      <c r="E562" s="126">
        <f t="shared" si="95"/>
        <v>0</v>
      </c>
      <c r="F562" s="125">
        <v>0</v>
      </c>
      <c r="G562" s="125">
        <v>0</v>
      </c>
      <c r="H562" s="125">
        <v>0</v>
      </c>
      <c r="I562" s="124">
        <f t="shared" si="96"/>
        <v>0</v>
      </c>
      <c r="J562" s="122">
        <f t="shared" si="97"/>
        <v>0</v>
      </c>
      <c r="K562" s="122">
        <f t="shared" si="98"/>
        <v>0</v>
      </c>
      <c r="L562" s="122">
        <v>0</v>
      </c>
      <c r="M562" s="122">
        <v>0</v>
      </c>
      <c r="N562" s="122">
        <v>0</v>
      </c>
      <c r="O562" s="122">
        <f t="shared" si="99"/>
        <v>4.2095632813437938</v>
      </c>
      <c r="P562" s="122">
        <f>H650</f>
        <v>0.39609572179891905</v>
      </c>
      <c r="Q562" s="123">
        <f t="shared" si="101"/>
        <v>-4.2095632813437938</v>
      </c>
      <c r="R562" s="123">
        <f t="shared" si="102"/>
        <v>-0.39609572179891905</v>
      </c>
      <c r="S562" s="122">
        <f t="shared" si="103"/>
        <v>0</v>
      </c>
      <c r="T562" s="122">
        <f t="shared" si="104"/>
        <v>0</v>
      </c>
      <c r="U562" s="122">
        <f t="shared" si="105"/>
        <v>0</v>
      </c>
      <c r="V562" s="121">
        <f t="shared" si="106"/>
        <v>0</v>
      </c>
      <c r="W562" s="121">
        <f t="shared" si="107"/>
        <v>0</v>
      </c>
      <c r="X562" s="121">
        <f t="shared" si="108"/>
        <v>0</v>
      </c>
      <c r="Z562" s="120"/>
      <c r="AA562" s="120"/>
    </row>
    <row r="563" spans="1:30" x14ac:dyDescent="0.25">
      <c r="B563" s="96">
        <v>16</v>
      </c>
      <c r="C563" s="125">
        <v>0</v>
      </c>
      <c r="D563" s="125">
        <f t="shared" si="109"/>
        <v>2760.7739999999999</v>
      </c>
      <c r="E563" s="126">
        <f t="shared" si="95"/>
        <v>0</v>
      </c>
      <c r="F563" s="125">
        <v>0</v>
      </c>
      <c r="G563" s="125">
        <v>0</v>
      </c>
      <c r="H563" s="125">
        <v>0</v>
      </c>
      <c r="I563" s="124">
        <f t="shared" si="96"/>
        <v>0</v>
      </c>
      <c r="J563" s="122">
        <f t="shared" si="97"/>
        <v>0</v>
      </c>
      <c r="K563" s="122">
        <f t="shared" si="98"/>
        <v>0</v>
      </c>
      <c r="L563" s="122">
        <v>0</v>
      </c>
      <c r="M563" s="122">
        <v>0</v>
      </c>
      <c r="N563" s="122">
        <v>0</v>
      </c>
      <c r="O563" s="122">
        <f t="shared" si="99"/>
        <v>4.2095632813437938</v>
      </c>
      <c r="P563" s="122">
        <f>H650</f>
        <v>0.39609572179891905</v>
      </c>
      <c r="Q563" s="123">
        <f t="shared" si="101"/>
        <v>-4.2095632813437938</v>
      </c>
      <c r="R563" s="123">
        <f t="shared" si="102"/>
        <v>-0.39609572179891905</v>
      </c>
      <c r="S563" s="122">
        <f t="shared" si="103"/>
        <v>0</v>
      </c>
      <c r="T563" s="122">
        <f t="shared" si="104"/>
        <v>0</v>
      </c>
      <c r="U563" s="122">
        <f t="shared" si="105"/>
        <v>0</v>
      </c>
      <c r="V563" s="121">
        <f t="shared" si="106"/>
        <v>0</v>
      </c>
      <c r="W563" s="121">
        <f t="shared" si="107"/>
        <v>0</v>
      </c>
      <c r="X563" s="121">
        <f t="shared" si="108"/>
        <v>0</v>
      </c>
      <c r="Z563" s="120"/>
      <c r="AA563" s="120"/>
    </row>
    <row r="564" spans="1:30" x14ac:dyDescent="0.25">
      <c r="B564" s="96">
        <v>17</v>
      </c>
      <c r="C564" s="125">
        <v>0</v>
      </c>
      <c r="D564" s="125">
        <f t="shared" si="109"/>
        <v>2760.7739999999999</v>
      </c>
      <c r="E564" s="126">
        <f t="shared" si="95"/>
        <v>0</v>
      </c>
      <c r="F564" s="125">
        <v>0</v>
      </c>
      <c r="G564" s="125">
        <v>0</v>
      </c>
      <c r="H564" s="125">
        <v>0</v>
      </c>
      <c r="I564" s="124">
        <f t="shared" si="96"/>
        <v>0</v>
      </c>
      <c r="J564" s="122">
        <f t="shared" si="97"/>
        <v>0</v>
      </c>
      <c r="K564" s="122">
        <f t="shared" si="98"/>
        <v>0</v>
      </c>
      <c r="L564" s="122">
        <v>0</v>
      </c>
      <c r="M564" s="122">
        <v>0</v>
      </c>
      <c r="N564" s="122">
        <v>0</v>
      </c>
      <c r="O564" s="122">
        <f t="shared" si="99"/>
        <v>4.2095632813437938</v>
      </c>
      <c r="P564" s="122">
        <f>H650</f>
        <v>0.39609572179891905</v>
      </c>
      <c r="Q564" s="123">
        <f t="shared" si="101"/>
        <v>-4.2095632813437938</v>
      </c>
      <c r="R564" s="123">
        <f t="shared" si="102"/>
        <v>-0.39609572179891905</v>
      </c>
      <c r="S564" s="122">
        <f t="shared" si="103"/>
        <v>0</v>
      </c>
      <c r="T564" s="122">
        <f t="shared" si="104"/>
        <v>0</v>
      </c>
      <c r="U564" s="122">
        <f t="shared" si="105"/>
        <v>0</v>
      </c>
      <c r="V564" s="121">
        <f t="shared" si="106"/>
        <v>0</v>
      </c>
      <c r="W564" s="121">
        <f t="shared" si="107"/>
        <v>0</v>
      </c>
      <c r="X564" s="121">
        <f t="shared" si="108"/>
        <v>0</v>
      </c>
      <c r="Z564" s="120"/>
      <c r="AA564" s="120"/>
    </row>
    <row r="565" spans="1:30" x14ac:dyDescent="0.25">
      <c r="B565" s="96">
        <v>18</v>
      </c>
      <c r="C565" s="125">
        <v>0</v>
      </c>
      <c r="D565" s="125">
        <f t="shared" si="109"/>
        <v>2760.7739999999999</v>
      </c>
      <c r="E565" s="126">
        <f t="shared" si="95"/>
        <v>0</v>
      </c>
      <c r="F565" s="125">
        <v>0</v>
      </c>
      <c r="G565" s="125">
        <v>0</v>
      </c>
      <c r="H565" s="125">
        <v>0</v>
      </c>
      <c r="I565" s="124">
        <f t="shared" si="96"/>
        <v>0</v>
      </c>
      <c r="J565" s="122">
        <f t="shared" si="97"/>
        <v>0</v>
      </c>
      <c r="K565" s="122">
        <f t="shared" si="98"/>
        <v>0</v>
      </c>
      <c r="L565" s="122">
        <v>0</v>
      </c>
      <c r="M565" s="122">
        <v>0</v>
      </c>
      <c r="N565" s="122">
        <v>0</v>
      </c>
      <c r="O565" s="122">
        <f t="shared" si="99"/>
        <v>4.2095632813437938</v>
      </c>
      <c r="P565" s="122">
        <f>H650</f>
        <v>0.39609572179891905</v>
      </c>
      <c r="Q565" s="123">
        <f t="shared" si="101"/>
        <v>-4.2095632813437938</v>
      </c>
      <c r="R565" s="123">
        <f t="shared" si="102"/>
        <v>-0.39609572179891905</v>
      </c>
      <c r="S565" s="122">
        <f t="shared" si="103"/>
        <v>0</v>
      </c>
      <c r="T565" s="122">
        <f t="shared" si="104"/>
        <v>0</v>
      </c>
      <c r="U565" s="122">
        <f t="shared" si="105"/>
        <v>0</v>
      </c>
      <c r="V565" s="121">
        <f t="shared" si="106"/>
        <v>0</v>
      </c>
      <c r="W565" s="121">
        <f t="shared" si="107"/>
        <v>0</v>
      </c>
      <c r="X565" s="121">
        <f t="shared" si="108"/>
        <v>0</v>
      </c>
      <c r="Z565" s="120"/>
      <c r="AA565" s="120"/>
    </row>
    <row r="566" spans="1:30" x14ac:dyDescent="0.25">
      <c r="B566" s="96">
        <v>19</v>
      </c>
      <c r="C566" s="125">
        <v>0</v>
      </c>
      <c r="D566" s="125">
        <f t="shared" si="109"/>
        <v>2760.7739999999999</v>
      </c>
      <c r="E566" s="126">
        <f t="shared" si="95"/>
        <v>0</v>
      </c>
      <c r="F566" s="125">
        <v>0</v>
      </c>
      <c r="G566" s="125">
        <v>0</v>
      </c>
      <c r="H566" s="125">
        <v>0</v>
      </c>
      <c r="I566" s="124">
        <f t="shared" si="96"/>
        <v>0</v>
      </c>
      <c r="J566" s="122">
        <f t="shared" si="97"/>
        <v>0</v>
      </c>
      <c r="K566" s="122">
        <f t="shared" si="98"/>
        <v>0</v>
      </c>
      <c r="L566" s="122">
        <v>0</v>
      </c>
      <c r="M566" s="122">
        <v>0</v>
      </c>
      <c r="N566" s="122">
        <v>0</v>
      </c>
      <c r="O566" s="122">
        <f t="shared" si="99"/>
        <v>4.2095632813437938</v>
      </c>
      <c r="P566" s="122">
        <f>H650</f>
        <v>0.39609572179891905</v>
      </c>
      <c r="Q566" s="123">
        <f t="shared" si="101"/>
        <v>-4.2095632813437938</v>
      </c>
      <c r="R566" s="123">
        <f t="shared" si="102"/>
        <v>-0.39609572179891905</v>
      </c>
      <c r="S566" s="122">
        <f t="shared" si="103"/>
        <v>0</v>
      </c>
      <c r="T566" s="122">
        <f t="shared" si="104"/>
        <v>0</v>
      </c>
      <c r="U566" s="122">
        <f t="shared" si="105"/>
        <v>0</v>
      </c>
      <c r="V566" s="121">
        <f t="shared" si="106"/>
        <v>0</v>
      </c>
      <c r="W566" s="121">
        <f t="shared" si="107"/>
        <v>0</v>
      </c>
      <c r="X566" s="121">
        <f t="shared" si="108"/>
        <v>0</v>
      </c>
      <c r="Z566" s="120"/>
      <c r="AA566" s="120"/>
    </row>
    <row r="567" spans="1:30" x14ac:dyDescent="0.25">
      <c r="B567" s="96">
        <v>20</v>
      </c>
      <c r="C567" s="125">
        <v>0</v>
      </c>
      <c r="D567" s="125">
        <f t="shared" si="109"/>
        <v>2760.7739999999999</v>
      </c>
      <c r="E567" s="126">
        <f t="shared" si="95"/>
        <v>0</v>
      </c>
      <c r="F567" s="125">
        <v>0</v>
      </c>
      <c r="G567" s="125">
        <v>0</v>
      </c>
      <c r="H567" s="125">
        <v>0</v>
      </c>
      <c r="I567" s="124">
        <f t="shared" si="96"/>
        <v>0</v>
      </c>
      <c r="J567" s="122">
        <f t="shared" si="97"/>
        <v>0</v>
      </c>
      <c r="K567" s="122">
        <f t="shared" si="98"/>
        <v>0</v>
      </c>
      <c r="L567" s="122">
        <v>0</v>
      </c>
      <c r="M567" s="122">
        <v>0</v>
      </c>
      <c r="N567" s="122">
        <v>0</v>
      </c>
      <c r="O567" s="122">
        <f t="shared" si="99"/>
        <v>4.2095632813437938</v>
      </c>
      <c r="P567" s="122">
        <f>H650</f>
        <v>0.39609572179891905</v>
      </c>
      <c r="Q567" s="123">
        <f t="shared" si="101"/>
        <v>-4.2095632813437938</v>
      </c>
      <c r="R567" s="123">
        <f t="shared" si="102"/>
        <v>-0.39609572179891905</v>
      </c>
      <c r="S567" s="122">
        <f t="shared" si="103"/>
        <v>0</v>
      </c>
      <c r="T567" s="122">
        <f t="shared" si="104"/>
        <v>0</v>
      </c>
      <c r="U567" s="122">
        <f t="shared" si="105"/>
        <v>0</v>
      </c>
      <c r="V567" s="121">
        <f t="shared" si="106"/>
        <v>0</v>
      </c>
      <c r="W567" s="121">
        <f t="shared" si="107"/>
        <v>0</v>
      </c>
      <c r="X567" s="121">
        <f t="shared" si="108"/>
        <v>0</v>
      </c>
      <c r="Z567" s="120"/>
      <c r="AA567" s="120"/>
    </row>
    <row r="568" spans="1:30" x14ac:dyDescent="0.25">
      <c r="B568" s="96">
        <v>21</v>
      </c>
      <c r="C568" s="125">
        <v>0</v>
      </c>
      <c r="D568" s="125">
        <f t="shared" si="109"/>
        <v>2760.7739999999999</v>
      </c>
      <c r="E568" s="126">
        <f t="shared" si="95"/>
        <v>0</v>
      </c>
      <c r="F568" s="125">
        <v>0</v>
      </c>
      <c r="G568" s="125">
        <v>0</v>
      </c>
      <c r="H568" s="125">
        <v>0</v>
      </c>
      <c r="I568" s="124">
        <f t="shared" si="96"/>
        <v>0</v>
      </c>
      <c r="J568" s="122">
        <f t="shared" si="97"/>
        <v>0</v>
      </c>
      <c r="K568" s="122">
        <f t="shared" si="98"/>
        <v>0</v>
      </c>
      <c r="L568" s="122">
        <v>0</v>
      </c>
      <c r="M568" s="122">
        <v>0</v>
      </c>
      <c r="N568" s="122">
        <v>0</v>
      </c>
      <c r="O568" s="122">
        <f t="shared" si="99"/>
        <v>4.2095632813437938</v>
      </c>
      <c r="P568" s="122">
        <f>H650</f>
        <v>0.39609572179891905</v>
      </c>
      <c r="Q568" s="123">
        <f t="shared" si="101"/>
        <v>-4.2095632813437938</v>
      </c>
      <c r="R568" s="123">
        <f t="shared" si="102"/>
        <v>-0.39609572179891905</v>
      </c>
      <c r="S568" s="122">
        <f t="shared" si="103"/>
        <v>0</v>
      </c>
      <c r="T568" s="122">
        <f t="shared" si="104"/>
        <v>0</v>
      </c>
      <c r="U568" s="122">
        <f t="shared" si="105"/>
        <v>0</v>
      </c>
      <c r="V568" s="121">
        <f t="shared" si="106"/>
        <v>0</v>
      </c>
      <c r="W568" s="121">
        <f t="shared" si="107"/>
        <v>0</v>
      </c>
      <c r="X568" s="121">
        <f t="shared" si="108"/>
        <v>0</v>
      </c>
      <c r="Z568" s="120"/>
      <c r="AA568" s="120"/>
    </row>
    <row r="569" spans="1:30" x14ac:dyDescent="0.25">
      <c r="A569" t="s">
        <v>2061</v>
      </c>
      <c r="B569" s="96">
        <v>22</v>
      </c>
      <c r="C569" s="119">
        <v>2760.7739999999999</v>
      </c>
      <c r="D569" s="119">
        <f t="shared" si="109"/>
        <v>2760.7739999999999</v>
      </c>
      <c r="E569" s="118">
        <f t="shared" si="95"/>
        <v>1</v>
      </c>
      <c r="F569" s="117">
        <f t="shared" ref="F569:F600" si="110">(D117+D116)/2</f>
        <v>5.5061632764654405E-3</v>
      </c>
      <c r="G569" s="117">
        <f t="shared" ref="G569:G600" si="111">(E117+N117)/2</f>
        <v>2.3562982674592139E-2</v>
      </c>
      <c r="H569" s="116">
        <f t="shared" ref="H569:H600" si="112">ABS(D117-D116)*ABS(E117-N117)</f>
        <v>1.1552843537160329E-3</v>
      </c>
      <c r="I569" s="115">
        <f t="shared" si="96"/>
        <v>1.1552843537160329E-3</v>
      </c>
      <c r="J569" s="113">
        <f t="shared" si="97"/>
        <v>6.3611842823063309E-6</v>
      </c>
      <c r="K569" s="113">
        <f t="shared" si="98"/>
        <v>2.7221945210838262E-5</v>
      </c>
      <c r="L569" s="111">
        <f t="shared" ref="L569:L600" si="113">(ABS(D117-D116)*ABS(E117-N117)^3)/12</f>
        <v>1.0595641762044274E-6</v>
      </c>
      <c r="M569" s="113">
        <f t="shared" ref="M569:M600" si="114">((ABS(D117-D116)^3)*ABS(E117-N117))/12</f>
        <v>1.1675239763354763E-8</v>
      </c>
      <c r="N569" s="113">
        <v>0</v>
      </c>
      <c r="O569" s="113">
        <f t="shared" si="99"/>
        <v>4.2095632813437938</v>
      </c>
      <c r="P569" s="113">
        <f>H650</f>
        <v>0.39609572179891905</v>
      </c>
      <c r="Q569" s="114">
        <f t="shared" si="101"/>
        <v>-4.2040571180673281</v>
      </c>
      <c r="R569" s="114">
        <f t="shared" si="102"/>
        <v>-0.37253273912432694</v>
      </c>
      <c r="S569" s="113">
        <f t="shared" si="103"/>
        <v>2.0418606865975089E-2</v>
      </c>
      <c r="T569" s="113">
        <f t="shared" si="104"/>
        <v>1.6033110397717864E-4</v>
      </c>
      <c r="U569" s="113">
        <f t="shared" si="105"/>
        <v>1.8093473355046525E-3</v>
      </c>
      <c r="V569" s="112">
        <f t="shared" si="106"/>
        <v>1.6139066815338307E-4</v>
      </c>
      <c r="W569" s="112">
        <f t="shared" si="107"/>
        <v>2.0418618541214854E-2</v>
      </c>
      <c r="X569" s="112">
        <f t="shared" si="108"/>
        <v>1.8093473355046525E-3</v>
      </c>
      <c r="Z569" s="111">
        <f t="shared" ref="Z569:Z600" si="115">((((E117-E116)^2+(D117-D116)^2)^(1/2))*$N$646^3)/12</f>
        <v>1.7282394968251249E-10</v>
      </c>
      <c r="AA569" s="111">
        <f t="shared" ref="AA569:AA600" si="116">(((((E117-E116)^2+(D117-D116)^2)^(1/2))^3)*$N$646)/12</f>
        <v>1.1329330151824439E-7</v>
      </c>
    </row>
    <row r="570" spans="1:30" x14ac:dyDescent="0.25">
      <c r="A570" t="s">
        <v>2061</v>
      </c>
      <c r="B570" s="96">
        <v>23</v>
      </c>
      <c r="C570" s="119">
        <v>2760.7739999999999</v>
      </c>
      <c r="D570" s="119">
        <f t="shared" si="109"/>
        <v>2760.7739999999999</v>
      </c>
      <c r="E570" s="118">
        <f t="shared" si="95"/>
        <v>1</v>
      </c>
      <c r="F570" s="117">
        <f t="shared" si="110"/>
        <v>3.5549500765529297E-2</v>
      </c>
      <c r="G570" s="117">
        <f t="shared" si="111"/>
        <v>3.6074728646564524E-2</v>
      </c>
      <c r="H570" s="116">
        <f t="shared" si="112"/>
        <v>1.6092923378213157E-2</v>
      </c>
      <c r="I570" s="115">
        <f t="shared" si="96"/>
        <v>1.6092923378213157E-2</v>
      </c>
      <c r="J570" s="113">
        <f t="shared" si="97"/>
        <v>5.7209539195339292E-4</v>
      </c>
      <c r="K570" s="113">
        <f t="shared" si="98"/>
        <v>5.8054784399899412E-4</v>
      </c>
      <c r="L570" s="111">
        <f t="shared" si="113"/>
        <v>1.4421635022963692E-4</v>
      </c>
      <c r="M570" s="113">
        <f t="shared" si="114"/>
        <v>3.2297044476444086E-6</v>
      </c>
      <c r="N570" s="113">
        <v>0</v>
      </c>
      <c r="O570" s="113">
        <f t="shared" si="99"/>
        <v>4.2095632813437938</v>
      </c>
      <c r="P570" s="113">
        <f>H650</f>
        <v>0.39609572179891905</v>
      </c>
      <c r="Q570" s="114">
        <f t="shared" si="101"/>
        <v>-4.1740137805782647</v>
      </c>
      <c r="R570" s="114">
        <f t="shared" si="102"/>
        <v>-0.36002099315235453</v>
      </c>
      <c r="S570" s="113">
        <f t="shared" si="103"/>
        <v>0.28037720407934602</v>
      </c>
      <c r="T570" s="113">
        <f t="shared" si="104"/>
        <v>2.0858861225672392E-3</v>
      </c>
      <c r="U570" s="113">
        <f t="shared" si="105"/>
        <v>2.4183360375955004E-2</v>
      </c>
      <c r="V570" s="112">
        <f t="shared" si="106"/>
        <v>2.2301024727968762E-3</v>
      </c>
      <c r="W570" s="112">
        <f t="shared" si="107"/>
        <v>0.28038043378379368</v>
      </c>
      <c r="X570" s="112">
        <f t="shared" si="108"/>
        <v>2.4183360375955004E-2</v>
      </c>
      <c r="Z570" s="111">
        <f t="shared" si="115"/>
        <v>3.0010164935375645E-10</v>
      </c>
      <c r="AA570" s="111">
        <f t="shared" si="116"/>
        <v>5.9319516325698886E-7</v>
      </c>
    </row>
    <row r="571" spans="1:30" x14ac:dyDescent="0.25">
      <c r="A571" t="s">
        <v>2061</v>
      </c>
      <c r="B571" s="96">
        <v>24</v>
      </c>
      <c r="C571" s="119">
        <v>2760.7739999999999</v>
      </c>
      <c r="D571" s="119">
        <f t="shared" si="109"/>
        <v>2760.7739999999999</v>
      </c>
      <c r="E571" s="118">
        <f t="shared" si="95"/>
        <v>1</v>
      </c>
      <c r="F571" s="117">
        <f t="shared" si="110"/>
        <v>0.10541897069116357</v>
      </c>
      <c r="G571" s="117">
        <f t="shared" si="111"/>
        <v>7.3840235652098629E-2</v>
      </c>
      <c r="H571" s="116">
        <f t="shared" si="112"/>
        <v>4.6341813083502145E-2</v>
      </c>
      <c r="I571" s="115">
        <f t="shared" si="96"/>
        <v>4.6341813083502145E-2</v>
      </c>
      <c r="J571" s="113">
        <f t="shared" si="97"/>
        <v>4.8853062352250936E-3</v>
      </c>
      <c r="K571" s="113">
        <f t="shared" si="98"/>
        <v>3.4218903986313058E-3</v>
      </c>
      <c r="L571" s="111">
        <f t="shared" si="113"/>
        <v>1.0089331692804209E-3</v>
      </c>
      <c r="M571" s="113">
        <f t="shared" si="114"/>
        <v>3.174440510050027E-5</v>
      </c>
      <c r="N571" s="113">
        <v>0</v>
      </c>
      <c r="O571" s="113">
        <f t="shared" si="99"/>
        <v>4.2095632813437938</v>
      </c>
      <c r="P571" s="113">
        <f>H650</f>
        <v>0.39609572179891905</v>
      </c>
      <c r="Q571" s="114">
        <f t="shared" si="101"/>
        <v>-4.1041443106526305</v>
      </c>
      <c r="R571" s="114">
        <f t="shared" si="102"/>
        <v>-0.32225548614682042</v>
      </c>
      <c r="S571" s="113">
        <f t="shared" si="103"/>
        <v>0.7805815237996313</v>
      </c>
      <c r="T571" s="113">
        <f t="shared" si="104"/>
        <v>4.8125323337992621E-3</v>
      </c>
      <c r="U571" s="113">
        <f t="shared" si="105"/>
        <v>6.1290895102388783E-2</v>
      </c>
      <c r="V571" s="112">
        <f t="shared" si="106"/>
        <v>5.8214655030796834E-3</v>
      </c>
      <c r="W571" s="112">
        <f t="shared" si="107"/>
        <v>0.78061326820473176</v>
      </c>
      <c r="X571" s="112">
        <f t="shared" si="108"/>
        <v>6.1290895102388783E-2</v>
      </c>
      <c r="Z571" s="111">
        <f t="shared" si="115"/>
        <v>3.5544428334561492E-10</v>
      </c>
      <c r="AA571" s="111">
        <f t="shared" si="116"/>
        <v>9.8561443580752933E-7</v>
      </c>
    </row>
    <row r="572" spans="1:30" x14ac:dyDescent="0.25">
      <c r="A572" t="s">
        <v>2061</v>
      </c>
      <c r="B572" s="96">
        <v>25</v>
      </c>
      <c r="C572" s="119">
        <v>2760.7739999999999</v>
      </c>
      <c r="D572" s="119">
        <f t="shared" si="109"/>
        <v>2760.7739999999999</v>
      </c>
      <c r="E572" s="118">
        <f t="shared" si="95"/>
        <v>1</v>
      </c>
      <c r="F572" s="117">
        <f t="shared" si="110"/>
        <v>0.21703905730533674</v>
      </c>
      <c r="G572" s="117">
        <f t="shared" si="111"/>
        <v>0.11560898902205233</v>
      </c>
      <c r="H572" s="116">
        <f t="shared" si="112"/>
        <v>9.1246182405253964E-2</v>
      </c>
      <c r="I572" s="115">
        <f t="shared" si="96"/>
        <v>9.1246182405253964E-2</v>
      </c>
      <c r="J572" s="113">
        <f t="shared" si="97"/>
        <v>1.9803985411947125E-2</v>
      </c>
      <c r="K572" s="113">
        <f t="shared" si="98"/>
        <v>1.054887889999319E-2</v>
      </c>
      <c r="L572" s="111">
        <f t="shared" si="113"/>
        <v>3.601934247084606E-3</v>
      </c>
      <c r="M572" s="113">
        <f t="shared" si="114"/>
        <v>1.336474080915799E-4</v>
      </c>
      <c r="N572" s="113">
        <v>0</v>
      </c>
      <c r="O572" s="113">
        <f t="shared" si="99"/>
        <v>4.2095632813437938</v>
      </c>
      <c r="P572" s="113">
        <f>H650</f>
        <v>0.39609572179891905</v>
      </c>
      <c r="Q572" s="114">
        <f t="shared" si="101"/>
        <v>-3.9925242240384571</v>
      </c>
      <c r="R572" s="114">
        <f t="shared" si="102"/>
        <v>-0.28048673277686675</v>
      </c>
      <c r="S572" s="113">
        <f t="shared" si="103"/>
        <v>1.4544869298440397</v>
      </c>
      <c r="T572" s="113">
        <f t="shared" si="104"/>
        <v>7.1785933219298669E-3</v>
      </c>
      <c r="U572" s="113">
        <f t="shared" si="105"/>
        <v>0.1021820442221269</v>
      </c>
      <c r="V572" s="112">
        <f t="shared" si="106"/>
        <v>1.0780527569014473E-2</v>
      </c>
      <c r="W572" s="112">
        <f t="shared" si="107"/>
        <v>1.4546205772521312</v>
      </c>
      <c r="X572" s="112">
        <f t="shared" si="108"/>
        <v>0.1021820442221269</v>
      </c>
      <c r="Z572" s="111">
        <f t="shared" si="115"/>
        <v>4.182960293278005E-10</v>
      </c>
      <c r="AA572" s="111">
        <f t="shared" si="116"/>
        <v>1.6063629564442462E-6</v>
      </c>
    </row>
    <row r="573" spans="1:30" x14ac:dyDescent="0.25">
      <c r="A573" t="s">
        <v>2061</v>
      </c>
      <c r="B573" s="96">
        <v>26</v>
      </c>
      <c r="C573" s="119">
        <v>2760.7739999999999</v>
      </c>
      <c r="D573" s="119">
        <f t="shared" si="109"/>
        <v>2760.7739999999999</v>
      </c>
      <c r="E573" s="118">
        <f t="shared" si="95"/>
        <v>1</v>
      </c>
      <c r="F573" s="117">
        <f t="shared" si="110"/>
        <v>0.37003555533683274</v>
      </c>
      <c r="G573" s="117">
        <f t="shared" si="111"/>
        <v>0.15882017377423158</v>
      </c>
      <c r="H573" s="116">
        <f t="shared" si="112"/>
        <v>0.1485335548683045</v>
      </c>
      <c r="I573" s="115">
        <f t="shared" si="96"/>
        <v>0.1485335548683045</v>
      </c>
      <c r="J573" s="113">
        <f t="shared" si="97"/>
        <v>5.4962696461846969E-2</v>
      </c>
      <c r="K573" s="113">
        <f t="shared" si="98"/>
        <v>2.359012499548848E-2</v>
      </c>
      <c r="L573" s="111">
        <f t="shared" si="113"/>
        <v>9.080443630101933E-3</v>
      </c>
      <c r="M573" s="113">
        <f t="shared" si="114"/>
        <v>3.7224488763755432E-4</v>
      </c>
      <c r="N573" s="113">
        <v>0</v>
      </c>
      <c r="O573" s="113">
        <f t="shared" si="99"/>
        <v>4.2095632813437938</v>
      </c>
      <c r="P573" s="113">
        <f>H650</f>
        <v>0.39609572179891905</v>
      </c>
      <c r="Q573" s="114">
        <f t="shared" si="101"/>
        <v>-3.8395277260069611</v>
      </c>
      <c r="R573" s="114">
        <f t="shared" si="102"/>
        <v>-0.23727554802468748</v>
      </c>
      <c r="S573" s="113">
        <f t="shared" si="103"/>
        <v>2.189677679046155</v>
      </c>
      <c r="T573" s="113">
        <f t="shared" si="104"/>
        <v>8.3623924535656691E-3</v>
      </c>
      <c r="U573" s="113">
        <f t="shared" si="105"/>
        <v>0.13531793709259965</v>
      </c>
      <c r="V573" s="112">
        <f t="shared" si="106"/>
        <v>1.7442836083667604E-2</v>
      </c>
      <c r="W573" s="112">
        <f t="shared" si="107"/>
        <v>2.1900499239337927</v>
      </c>
      <c r="X573" s="112">
        <f t="shared" si="108"/>
        <v>0.13531793709259965</v>
      </c>
      <c r="Z573" s="111">
        <f t="shared" si="115"/>
        <v>4.8408077701024492E-10</v>
      </c>
      <c r="AA573" s="111">
        <f t="shared" si="116"/>
        <v>2.4896939582475606E-6</v>
      </c>
    </row>
    <row r="574" spans="1:30" x14ac:dyDescent="0.25">
      <c r="A574" t="s">
        <v>2061</v>
      </c>
      <c r="B574" s="96">
        <v>27</v>
      </c>
      <c r="C574" s="119">
        <v>2760.7739999999999</v>
      </c>
      <c r="D574" s="119">
        <f t="shared" si="109"/>
        <v>2760.7739999999999</v>
      </c>
      <c r="E574" s="118">
        <f t="shared" si="95"/>
        <v>1</v>
      </c>
      <c r="F574" s="117">
        <f t="shared" si="110"/>
        <v>0.56349968055555533</v>
      </c>
      <c r="G574" s="117">
        <f t="shared" si="111"/>
        <v>0.20184605669694353</v>
      </c>
      <c r="H574" s="116">
        <f t="shared" si="112"/>
        <v>0.21586322242887954</v>
      </c>
      <c r="I574" s="115">
        <f t="shared" si="96"/>
        <v>0.21586322242887954</v>
      </c>
      <c r="J574" s="113">
        <f t="shared" si="97"/>
        <v>0.12163885688236641</v>
      </c>
      <c r="K574" s="113">
        <f t="shared" si="98"/>
        <v>4.3571140233164551E-2</v>
      </c>
      <c r="L574" s="111">
        <f t="shared" si="113"/>
        <v>1.8387169478686821E-2</v>
      </c>
      <c r="M574" s="113">
        <f t="shared" si="114"/>
        <v>8.2004418377347368E-4</v>
      </c>
      <c r="N574" s="113">
        <v>0</v>
      </c>
      <c r="O574" s="113">
        <f t="shared" si="99"/>
        <v>4.2095632813437938</v>
      </c>
      <c r="P574" s="113">
        <f>H650</f>
        <v>0.39609572179891905</v>
      </c>
      <c r="Q574" s="114">
        <f t="shared" si="101"/>
        <v>-3.6460636007882385</v>
      </c>
      <c r="R574" s="114">
        <f t="shared" si="102"/>
        <v>-0.19424966510197553</v>
      </c>
      <c r="S574" s="113">
        <f t="shared" si="103"/>
        <v>2.869638141785011</v>
      </c>
      <c r="T574" s="113">
        <f t="shared" si="104"/>
        <v>8.1451523778777422E-3</v>
      </c>
      <c r="U574" s="113">
        <f t="shared" si="105"/>
        <v>0.15288440055875174</v>
      </c>
      <c r="V574" s="112">
        <f t="shared" si="106"/>
        <v>2.6532321856564563E-2</v>
      </c>
      <c r="W574" s="112">
        <f t="shared" si="107"/>
        <v>2.8704581859687845</v>
      </c>
      <c r="X574" s="112">
        <f t="shared" si="108"/>
        <v>0.15288440055875174</v>
      </c>
      <c r="Z574" s="111">
        <f t="shared" si="115"/>
        <v>5.5138415481843883E-10</v>
      </c>
      <c r="AA574" s="111">
        <f t="shared" si="116"/>
        <v>3.6792161176217372E-6</v>
      </c>
    </row>
    <row r="575" spans="1:30" x14ac:dyDescent="0.25">
      <c r="A575" t="s">
        <v>2061</v>
      </c>
      <c r="B575" s="96">
        <v>28</v>
      </c>
      <c r="C575" s="119">
        <v>2760.7739999999999</v>
      </c>
      <c r="D575" s="119">
        <f t="shared" si="109"/>
        <v>2760.7739999999999</v>
      </c>
      <c r="E575" s="118">
        <f t="shared" si="95"/>
        <v>1</v>
      </c>
      <c r="F575" s="117">
        <f t="shared" si="110"/>
        <v>0.79684339610673627</v>
      </c>
      <c r="G575" s="117">
        <f t="shared" si="111"/>
        <v>0.24343150823896645</v>
      </c>
      <c r="H575" s="116">
        <f t="shared" si="112"/>
        <v>0.29072448225244335</v>
      </c>
      <c r="I575" s="115">
        <f t="shared" si="96"/>
        <v>0.29072448225244335</v>
      </c>
      <c r="J575" s="113">
        <f t="shared" si="97"/>
        <v>0.23166188376940952</v>
      </c>
      <c r="K575" s="113">
        <f t="shared" si="98"/>
        <v>7.0771499196704918E-2</v>
      </c>
      <c r="L575" s="111">
        <f t="shared" si="113"/>
        <v>3.1945998145037222E-2</v>
      </c>
      <c r="M575" s="113">
        <f t="shared" si="114"/>
        <v>1.552914227327874E-3</v>
      </c>
      <c r="N575" s="113">
        <v>0</v>
      </c>
      <c r="O575" s="113">
        <f t="shared" si="99"/>
        <v>4.2095632813437938</v>
      </c>
      <c r="P575" s="113">
        <f>H650</f>
        <v>0.39609572179891905</v>
      </c>
      <c r="Q575" s="114">
        <f t="shared" si="101"/>
        <v>-3.4127198852370575</v>
      </c>
      <c r="R575" s="114">
        <f t="shared" si="102"/>
        <v>-0.15266421355995261</v>
      </c>
      <c r="S575" s="113">
        <f t="shared" si="103"/>
        <v>3.3859683306845354</v>
      </c>
      <c r="T575" s="113">
        <f t="shared" si="104"/>
        <v>6.775730055256687E-3</v>
      </c>
      <c r="U575" s="113">
        <f t="shared" si="105"/>
        <v>0.15146751263675826</v>
      </c>
      <c r="V575" s="112">
        <f t="shared" si="106"/>
        <v>3.872172820029391E-2</v>
      </c>
      <c r="W575" s="112">
        <f t="shared" si="107"/>
        <v>3.3875212449118632</v>
      </c>
      <c r="X575" s="112">
        <f t="shared" si="108"/>
        <v>0.15146751263675826</v>
      </c>
      <c r="Z575" s="111">
        <f t="shared" si="115"/>
        <v>6.2129781347543231E-10</v>
      </c>
      <c r="AA575" s="111">
        <f t="shared" si="116"/>
        <v>5.2637097069006573E-6</v>
      </c>
    </row>
    <row r="576" spans="1:30" x14ac:dyDescent="0.25">
      <c r="A576" t="s">
        <v>2061</v>
      </c>
      <c r="B576" s="96">
        <v>29</v>
      </c>
      <c r="C576" s="119">
        <v>2760.7739999999999</v>
      </c>
      <c r="D576" s="119">
        <f t="shared" si="109"/>
        <v>2760.7739999999999</v>
      </c>
      <c r="E576" s="118">
        <f t="shared" si="95"/>
        <v>1</v>
      </c>
      <c r="F576" s="117">
        <f t="shared" si="110"/>
        <v>1.0691579177602795</v>
      </c>
      <c r="G576" s="117">
        <f t="shared" si="111"/>
        <v>0.28221221645246064</v>
      </c>
      <c r="H576" s="116">
        <f t="shared" si="112"/>
        <v>0.36909584271873785</v>
      </c>
      <c r="I576" s="115">
        <f t="shared" si="96"/>
        <v>0.36909584271873785</v>
      </c>
      <c r="J576" s="113">
        <f t="shared" si="97"/>
        <v>0.39462174265514138</v>
      </c>
      <c r="K576" s="113">
        <f t="shared" si="98"/>
        <v>0.10416335585704381</v>
      </c>
      <c r="L576" s="111">
        <f t="shared" si="113"/>
        <v>4.9328828165534723E-2</v>
      </c>
      <c r="M576" s="113">
        <f t="shared" si="114"/>
        <v>2.6127227301657205E-3</v>
      </c>
      <c r="N576" s="113">
        <v>0</v>
      </c>
      <c r="O576" s="113">
        <f t="shared" si="99"/>
        <v>4.2095632813437938</v>
      </c>
      <c r="P576" s="113">
        <f>H650</f>
        <v>0.39609572179891905</v>
      </c>
      <c r="Q576" s="114">
        <f t="shared" si="101"/>
        <v>-3.1404053635835143</v>
      </c>
      <c r="R576" s="114">
        <f t="shared" si="102"/>
        <v>-0.11388350534645841</v>
      </c>
      <c r="S576" s="113">
        <f t="shared" si="103"/>
        <v>3.6400770326439198</v>
      </c>
      <c r="T576" s="113">
        <f t="shared" si="104"/>
        <v>4.7869711071247632E-3</v>
      </c>
      <c r="U576" s="113">
        <f t="shared" si="105"/>
        <v>0.1320035741295473</v>
      </c>
      <c r="V576" s="112">
        <f t="shared" si="106"/>
        <v>5.4115799272659484E-2</v>
      </c>
      <c r="W576" s="112">
        <f t="shared" si="107"/>
        <v>3.6426897553740853</v>
      </c>
      <c r="X576" s="112">
        <f t="shared" si="108"/>
        <v>0.1320035741295473</v>
      </c>
      <c r="Z576" s="111">
        <f t="shared" si="115"/>
        <v>6.9172347377082175E-10</v>
      </c>
      <c r="AA576" s="111">
        <f t="shared" si="116"/>
        <v>7.2642368473023139E-6</v>
      </c>
      <c r="AC576" s="136"/>
      <c r="AD576" s="136"/>
    </row>
    <row r="577" spans="1:27" x14ac:dyDescent="0.25">
      <c r="A577" t="s">
        <v>2061</v>
      </c>
      <c r="B577" s="96">
        <v>30</v>
      </c>
      <c r="C577" s="119">
        <v>2760.7739999999999</v>
      </c>
      <c r="D577" s="119">
        <f t="shared" si="109"/>
        <v>2760.7739999999999</v>
      </c>
      <c r="E577" s="118">
        <f t="shared" si="95"/>
        <v>1</v>
      </c>
      <c r="F577" s="117">
        <f t="shared" si="110"/>
        <v>1.3789464244313205</v>
      </c>
      <c r="G577" s="117">
        <f t="shared" si="111"/>
        <v>0.31740014115245235</v>
      </c>
      <c r="H577" s="116">
        <f t="shared" si="112"/>
        <v>0.4470325458940389</v>
      </c>
      <c r="I577" s="115">
        <f t="shared" si="96"/>
        <v>0.4470325458940389</v>
      </c>
      <c r="J577" s="113">
        <f t="shared" si="97"/>
        <v>0.61643393076501518</v>
      </c>
      <c r="K577" s="113">
        <f t="shared" si="98"/>
        <v>0.14188819316650808</v>
      </c>
      <c r="L577" s="111">
        <f t="shared" si="113"/>
        <v>6.9144667481263036E-2</v>
      </c>
      <c r="M577" s="113">
        <f t="shared" si="114"/>
        <v>4.0108404538186475E-3</v>
      </c>
      <c r="N577" s="113">
        <v>0</v>
      </c>
      <c r="O577" s="113">
        <f t="shared" si="99"/>
        <v>4.2095632813437938</v>
      </c>
      <c r="P577" s="113">
        <f>H650</f>
        <v>0.39609572179891905</v>
      </c>
      <c r="Q577" s="114">
        <f t="shared" si="101"/>
        <v>-2.8306168569124734</v>
      </c>
      <c r="R577" s="114">
        <f t="shared" si="102"/>
        <v>-7.8695580646466701E-2</v>
      </c>
      <c r="S577" s="113">
        <f t="shared" si="103"/>
        <v>3.5817999008689778</v>
      </c>
      <c r="T577" s="113">
        <f t="shared" si="104"/>
        <v>2.7684700592781495E-3</v>
      </c>
      <c r="U577" s="113">
        <f t="shared" si="105"/>
        <v>9.9579645429581684E-2</v>
      </c>
      <c r="V577" s="112">
        <f t="shared" si="106"/>
        <v>7.1913137540541183E-2</v>
      </c>
      <c r="W577" s="112">
        <f t="shared" si="107"/>
        <v>3.5858107413227964</v>
      </c>
      <c r="X577" s="112">
        <f t="shared" si="108"/>
        <v>9.9579645429581684E-2</v>
      </c>
      <c r="Z577" s="111">
        <f t="shared" si="115"/>
        <v>7.6163322020630738E-10</v>
      </c>
      <c r="AA577" s="111">
        <f t="shared" si="116"/>
        <v>9.6968368728833325E-6</v>
      </c>
    </row>
    <row r="578" spans="1:27" x14ac:dyDescent="0.25">
      <c r="A578" t="s">
        <v>2061</v>
      </c>
      <c r="B578" s="96">
        <v>31</v>
      </c>
      <c r="C578" s="119">
        <v>2760.7739999999999</v>
      </c>
      <c r="D578" s="119">
        <f t="shared" si="109"/>
        <v>2760.7739999999999</v>
      </c>
      <c r="E578" s="118">
        <f t="shared" si="95"/>
        <v>1</v>
      </c>
      <c r="F578" s="117">
        <f t="shared" si="110"/>
        <v>1.7243913476596668</v>
      </c>
      <c r="G578" s="117">
        <f t="shared" si="111"/>
        <v>0.34822301309158354</v>
      </c>
      <c r="H578" s="116">
        <f t="shared" si="112"/>
        <v>0.5203453336539533</v>
      </c>
      <c r="I578" s="115">
        <f t="shared" si="96"/>
        <v>0.5203453336539533</v>
      </c>
      <c r="J578" s="113">
        <f t="shared" si="97"/>
        <v>0.8972789911479595</v>
      </c>
      <c r="K578" s="113">
        <f t="shared" si="98"/>
        <v>0.18119621993312499</v>
      </c>
      <c r="L578" s="111">
        <f t="shared" si="113"/>
        <v>8.9215910978105453E-2</v>
      </c>
      <c r="M578" s="113">
        <f t="shared" si="114"/>
        <v>5.7063952634258492E-3</v>
      </c>
      <c r="N578" s="113">
        <v>0</v>
      </c>
      <c r="O578" s="113">
        <f t="shared" si="99"/>
        <v>4.2095632813437938</v>
      </c>
      <c r="P578" s="113">
        <f>H650</f>
        <v>0.39609572179891905</v>
      </c>
      <c r="Q578" s="114">
        <f t="shared" si="101"/>
        <v>-2.4851719336841267</v>
      </c>
      <c r="R578" s="114">
        <f t="shared" si="102"/>
        <v>-4.787270870733551E-2</v>
      </c>
      <c r="S578" s="113">
        <f t="shared" si="103"/>
        <v>3.2136941688997211</v>
      </c>
      <c r="T578" s="113">
        <f t="shared" si="104"/>
        <v>1.1925254786375689E-3</v>
      </c>
      <c r="U578" s="113">
        <f t="shared" si="105"/>
        <v>6.1906479280943644E-2</v>
      </c>
      <c r="V578" s="112">
        <f t="shared" si="106"/>
        <v>9.0408436456743027E-2</v>
      </c>
      <c r="W578" s="112">
        <f t="shared" si="107"/>
        <v>3.2194005641631471</v>
      </c>
      <c r="X578" s="112">
        <f t="shared" si="108"/>
        <v>6.1906479280943644E-2</v>
      </c>
      <c r="Z578" s="111">
        <f t="shared" si="115"/>
        <v>8.299538452672672E-10</v>
      </c>
      <c r="AA578" s="111">
        <f t="shared" si="116"/>
        <v>1.2547415469258899E-5</v>
      </c>
    </row>
    <row r="579" spans="1:27" x14ac:dyDescent="0.25">
      <c r="A579" t="s">
        <v>2061</v>
      </c>
      <c r="B579" s="96">
        <v>32</v>
      </c>
      <c r="C579" s="119">
        <v>2760.7739999999999</v>
      </c>
      <c r="D579" s="119">
        <f t="shared" si="109"/>
        <v>2760.7739999999999</v>
      </c>
      <c r="E579" s="118">
        <f t="shared" si="95"/>
        <v>1</v>
      </c>
      <c r="F579" s="117">
        <f t="shared" si="110"/>
        <v>2.103354371609798</v>
      </c>
      <c r="G579" s="117">
        <f t="shared" si="111"/>
        <v>0.37394641557510405</v>
      </c>
      <c r="H579" s="116">
        <f t="shared" si="112"/>
        <v>0.58560570087641894</v>
      </c>
      <c r="I579" s="115">
        <f t="shared" si="96"/>
        <v>0.58560570087641894</v>
      </c>
      <c r="J579" s="113">
        <f t="shared" si="97"/>
        <v>1.2317363109780355</v>
      </c>
      <c r="K579" s="113">
        <f t="shared" si="98"/>
        <v>0.21898515278308342</v>
      </c>
      <c r="L579" s="111">
        <f t="shared" si="113"/>
        <v>0.10717339876724759</v>
      </c>
      <c r="M579" s="113">
        <f t="shared" si="114"/>
        <v>7.620293311310946E-3</v>
      </c>
      <c r="N579" s="113">
        <v>0</v>
      </c>
      <c r="O579" s="113">
        <f t="shared" si="99"/>
        <v>4.2095632813437938</v>
      </c>
      <c r="P579" s="113">
        <f>H650</f>
        <v>0.39609572179891905</v>
      </c>
      <c r="Q579" s="114">
        <f t="shared" si="101"/>
        <v>-2.1062089097339958</v>
      </c>
      <c r="R579" s="114">
        <f t="shared" si="102"/>
        <v>-2.2149306223815002E-2</v>
      </c>
      <c r="S579" s="113">
        <f t="shared" si="103"/>
        <v>2.5978148026258765</v>
      </c>
      <c r="T579" s="113">
        <f t="shared" si="104"/>
        <v>2.8729333508760208E-4</v>
      </c>
      <c r="U579" s="113">
        <f t="shared" si="105"/>
        <v>2.7319130267750631E-2</v>
      </c>
      <c r="V579" s="112">
        <f t="shared" si="106"/>
        <v>0.10746069210233519</v>
      </c>
      <c r="W579" s="112">
        <f t="shared" si="107"/>
        <v>2.6054350959371875</v>
      </c>
      <c r="X579" s="112">
        <f t="shared" si="108"/>
        <v>2.7319130267750631E-2</v>
      </c>
      <c r="Z579" s="111">
        <f t="shared" si="115"/>
        <v>8.9606085580876984E-10</v>
      </c>
      <c r="AA579" s="111">
        <f t="shared" si="116"/>
        <v>1.5790830485727598E-5</v>
      </c>
    </row>
    <row r="580" spans="1:27" x14ac:dyDescent="0.25">
      <c r="A580" t="s">
        <v>2061</v>
      </c>
      <c r="B580" s="96">
        <v>33</v>
      </c>
      <c r="C580" s="119">
        <v>2760.7739999999999</v>
      </c>
      <c r="D580" s="119">
        <f t="shared" si="109"/>
        <v>2760.7739999999999</v>
      </c>
      <c r="E580" s="118">
        <f t="shared" si="95"/>
        <v>1</v>
      </c>
      <c r="F580" s="117">
        <f t="shared" si="110"/>
        <v>2.5134298909667532</v>
      </c>
      <c r="G580" s="117">
        <f t="shared" si="111"/>
        <v>0.39815244721614995</v>
      </c>
      <c r="H580" s="116">
        <f t="shared" si="112"/>
        <v>0.63595431488554344</v>
      </c>
      <c r="I580" s="115">
        <f t="shared" ref="I580:I611" si="117">H580*E580</f>
        <v>0.63595431488554344</v>
      </c>
      <c r="J580" s="113">
        <f t="shared" ref="J580:J611" si="118">I580*F580</f>
        <v>1.5984265843226078</v>
      </c>
      <c r="K580" s="113">
        <f t="shared" ref="K580:K611" si="119">I580*G580</f>
        <v>0.25320676678934911</v>
      </c>
      <c r="L580" s="111">
        <f t="shared" si="113"/>
        <v>0.11866934079394781</v>
      </c>
      <c r="M580" s="113">
        <f t="shared" si="114"/>
        <v>9.5719991478966145E-3</v>
      </c>
      <c r="N580" s="113">
        <v>0</v>
      </c>
      <c r="O580" s="113">
        <f t="shared" ref="O580:O611" si="120">$H$648</f>
        <v>4.2095632813437938</v>
      </c>
      <c r="P580" s="113">
        <f t="shared" ref="P580:P611" si="121">H$650</f>
        <v>0.39609572179891905</v>
      </c>
      <c r="Q580" s="114">
        <f t="shared" ref="Q580:Q611" si="122">F580-O580</f>
        <v>-1.6961333903770406</v>
      </c>
      <c r="R580" s="114">
        <f t="shared" ref="R580:R611" si="123">G580-P580</f>
        <v>2.056725417230898E-3</v>
      </c>
      <c r="S580" s="113">
        <f t="shared" ref="S580:S611" si="124">H580*Q580^2</f>
        <v>1.8295569219117258</v>
      </c>
      <c r="T580" s="113">
        <f t="shared" ref="T580:T611" si="125">H580*R580^2</f>
        <v>2.6901627115471092E-6</v>
      </c>
      <c r="U580" s="113">
        <f>H580*Q580*R580</f>
        <v>-2.218514324943572E-3</v>
      </c>
      <c r="V580" s="112">
        <f t="shared" ref="V580:V611" si="126">E580*(L580+T580)</f>
        <v>0.11867203095665936</v>
      </c>
      <c r="W580" s="112">
        <f t="shared" ref="W580:W611" si="127">E580*(M580+S580)</f>
        <v>1.8391289210596224</v>
      </c>
      <c r="X580" s="112">
        <f t="shared" ref="X580:X611" si="128">E580*(N580+U580)</f>
        <v>-2.218514324943572E-3</v>
      </c>
      <c r="Z580" s="111">
        <f t="shared" si="115"/>
        <v>9.5884002853331954E-10</v>
      </c>
      <c r="AA580" s="111">
        <f t="shared" si="116"/>
        <v>1.9347770303769453E-5</v>
      </c>
    </row>
    <row r="581" spans="1:27" x14ac:dyDescent="0.25">
      <c r="A581" t="s">
        <v>2061</v>
      </c>
      <c r="B581" s="96">
        <v>34</v>
      </c>
      <c r="C581" s="119">
        <v>2760.7739999999999</v>
      </c>
      <c r="D581" s="119">
        <f t="shared" si="109"/>
        <v>2760.7739999999999</v>
      </c>
      <c r="E581" s="118">
        <f t="shared" si="95"/>
        <v>1</v>
      </c>
      <c r="F581" s="117">
        <f t="shared" si="110"/>
        <v>2.95173117935258</v>
      </c>
      <c r="G581" s="117">
        <f t="shared" si="111"/>
        <v>0.41236349230603719</v>
      </c>
      <c r="H581" s="116">
        <f t="shared" si="112"/>
        <v>0.67493024025992276</v>
      </c>
      <c r="I581" s="115">
        <f t="shared" si="117"/>
        <v>0.67493024025992276</v>
      </c>
      <c r="J581" s="113">
        <f t="shared" si="118"/>
        <v>1.9922126340631421</v>
      </c>
      <c r="K581" s="113">
        <f t="shared" si="119"/>
        <v>0.27831659093653449</v>
      </c>
      <c r="L581" s="111">
        <f t="shared" si="113"/>
        <v>0.1256214735234136</v>
      </c>
      <c r="M581" s="113">
        <f t="shared" si="114"/>
        <v>1.1471208490434022E-2</v>
      </c>
      <c r="N581" s="113">
        <v>0</v>
      </c>
      <c r="O581" s="113">
        <f t="shared" si="120"/>
        <v>4.2095632813437938</v>
      </c>
      <c r="P581" s="113">
        <f t="shared" si="121"/>
        <v>0.39609572179891905</v>
      </c>
      <c r="Q581" s="114">
        <f t="shared" si="122"/>
        <v>-1.2578321019912138</v>
      </c>
      <c r="R581" s="114">
        <f t="shared" si="123"/>
        <v>1.626777050711814E-2</v>
      </c>
      <c r="S581" s="113">
        <f t="shared" si="124"/>
        <v>1.0678352080531957</v>
      </c>
      <c r="T581" s="113">
        <f t="shared" si="125"/>
        <v>1.7861377991624012E-4</v>
      </c>
      <c r="U581" s="113">
        <f t="shared" ref="U581:U611" si="129">H581*Q581*R581</f>
        <v>-1.3810506248433689E-2</v>
      </c>
      <c r="V581" s="112">
        <f t="shared" si="126"/>
        <v>0.12580008730332984</v>
      </c>
      <c r="W581" s="112">
        <f t="shared" si="127"/>
        <v>1.0793064165436297</v>
      </c>
      <c r="X581" s="112">
        <f t="shared" si="128"/>
        <v>-1.3810506248433689E-2</v>
      </c>
      <c r="Z581" s="111">
        <f t="shared" si="115"/>
        <v>1.0165654291416928E-9</v>
      </c>
      <c r="AA581" s="111">
        <f t="shared" si="116"/>
        <v>2.305676978939838E-5</v>
      </c>
    </row>
    <row r="582" spans="1:27" x14ac:dyDescent="0.25">
      <c r="A582" t="s">
        <v>2061</v>
      </c>
      <c r="B582" s="96">
        <v>35</v>
      </c>
      <c r="C582" s="119">
        <v>2760.7739999999999</v>
      </c>
      <c r="D582" s="119">
        <f t="shared" si="109"/>
        <v>2760.7739999999999</v>
      </c>
      <c r="E582" s="118">
        <f t="shared" si="95"/>
        <v>1</v>
      </c>
      <c r="F582" s="117">
        <f t="shared" si="110"/>
        <v>3.414836931430445</v>
      </c>
      <c r="G582" s="117">
        <f t="shared" si="111"/>
        <v>0.42059781351936321</v>
      </c>
      <c r="H582" s="116">
        <f t="shared" si="112"/>
        <v>0.6969011358889895</v>
      </c>
      <c r="I582" s="115">
        <f t="shared" si="117"/>
        <v>0.6969011358889895</v>
      </c>
      <c r="J582" s="113">
        <f t="shared" si="118"/>
        <v>2.3798037363895483</v>
      </c>
      <c r="K582" s="113">
        <f t="shared" si="119"/>
        <v>0.2931150939940696</v>
      </c>
      <c r="L582" s="111">
        <f t="shared" si="113"/>
        <v>0.1252213172617829</v>
      </c>
      <c r="M582" s="113">
        <f t="shared" si="114"/>
        <v>1.3081089871378191E-2</v>
      </c>
      <c r="N582" s="113">
        <v>0</v>
      </c>
      <c r="O582" s="113">
        <f t="shared" si="120"/>
        <v>4.2095632813437938</v>
      </c>
      <c r="P582" s="113">
        <f t="shared" si="121"/>
        <v>0.39609572179891905</v>
      </c>
      <c r="Q582" s="114">
        <f t="shared" si="122"/>
        <v>-0.79472634991334878</v>
      </c>
      <c r="R582" s="114">
        <f t="shared" si="123"/>
        <v>2.4502091720444152E-2</v>
      </c>
      <c r="S582" s="113">
        <f t="shared" si="124"/>
        <v>0.44015576837784587</v>
      </c>
      <c r="T582" s="113">
        <f t="shared" si="125"/>
        <v>4.1838633826183464E-4</v>
      </c>
      <c r="U582" s="113">
        <f t="shared" si="129"/>
        <v>-1.3570378041765497E-2</v>
      </c>
      <c r="V582" s="112">
        <f t="shared" si="126"/>
        <v>0.12563970360004473</v>
      </c>
      <c r="W582" s="112">
        <f t="shared" si="127"/>
        <v>0.45323685824922405</v>
      </c>
      <c r="X582" s="112">
        <f t="shared" si="128"/>
        <v>-1.3570378041765497E-2</v>
      </c>
      <c r="Z582" s="111">
        <f t="shared" si="115"/>
        <v>1.0679030678131117E-9</v>
      </c>
      <c r="AA582" s="111">
        <f t="shared" si="116"/>
        <v>2.6729322854697991E-5</v>
      </c>
    </row>
    <row r="583" spans="1:27" x14ac:dyDescent="0.25">
      <c r="A583" t="s">
        <v>2061</v>
      </c>
      <c r="B583" s="96">
        <v>36</v>
      </c>
      <c r="C583" s="119">
        <v>2760.7739999999999</v>
      </c>
      <c r="D583" s="119">
        <f t="shared" si="109"/>
        <v>2760.7739999999999</v>
      </c>
      <c r="E583" s="118">
        <f t="shared" si="95"/>
        <v>1</v>
      </c>
      <c r="F583" s="117">
        <f t="shared" si="110"/>
        <v>3.8991120102799637</v>
      </c>
      <c r="G583" s="117">
        <f t="shared" si="111"/>
        <v>0.42311349863934522</v>
      </c>
      <c r="H583" s="116">
        <f t="shared" si="112"/>
        <v>0.70075693028147257</v>
      </c>
      <c r="I583" s="115">
        <f t="shared" si="117"/>
        <v>0.70075693028147257</v>
      </c>
      <c r="J583" s="113">
        <f t="shared" si="118"/>
        <v>2.7323297631474088</v>
      </c>
      <c r="K583" s="113">
        <f t="shared" si="119"/>
        <v>0.29649971646716156</v>
      </c>
      <c r="L583" s="111">
        <f t="shared" si="113"/>
        <v>0.11753123354720663</v>
      </c>
      <c r="M583" s="113">
        <f t="shared" si="114"/>
        <v>1.4247997150340664E-2</v>
      </c>
      <c r="N583" s="113">
        <v>0</v>
      </c>
      <c r="O583" s="113">
        <f t="shared" si="120"/>
        <v>4.2095632813437938</v>
      </c>
      <c r="P583" s="113">
        <f t="shared" si="121"/>
        <v>0.39609572179891905</v>
      </c>
      <c r="Q583" s="114">
        <f t="shared" si="122"/>
        <v>-0.31045127106383008</v>
      </c>
      <c r="R583" s="114">
        <f t="shared" si="123"/>
        <v>2.7017776840426166E-2</v>
      </c>
      <c r="S583" s="113">
        <f t="shared" si="124"/>
        <v>6.7538947127853091E-2</v>
      </c>
      <c r="T583" s="113">
        <f t="shared" si="125"/>
        <v>5.1152471480850022E-4</v>
      </c>
      <c r="U583" s="113">
        <f t="shared" si="129"/>
        <v>-5.8777411195153392E-3</v>
      </c>
      <c r="V583" s="112">
        <f t="shared" si="126"/>
        <v>0.11804275826201513</v>
      </c>
      <c r="W583" s="112">
        <f t="shared" si="127"/>
        <v>8.178694427819376E-2</v>
      </c>
      <c r="X583" s="112">
        <f t="shared" si="128"/>
        <v>-5.8777411195153392E-3</v>
      </c>
      <c r="Z583" s="111">
        <f t="shared" si="115"/>
        <v>1.1125262955542454E-9</v>
      </c>
      <c r="AA583" s="111">
        <f t="shared" si="116"/>
        <v>3.0222007462363338E-5</v>
      </c>
    </row>
    <row r="584" spans="1:27" x14ac:dyDescent="0.25">
      <c r="A584" t="s">
        <v>2061</v>
      </c>
      <c r="B584" s="96">
        <v>37</v>
      </c>
      <c r="C584" s="119">
        <v>2760.7739999999999</v>
      </c>
      <c r="D584" s="119">
        <f t="shared" si="109"/>
        <v>2760.7739999999999</v>
      </c>
      <c r="E584" s="118">
        <f t="shared" si="95"/>
        <v>1</v>
      </c>
      <c r="F584" s="117">
        <f t="shared" si="110"/>
        <v>4.4006005316054226</v>
      </c>
      <c r="G584" s="117">
        <f t="shared" si="111"/>
        <v>0.41990986646233713</v>
      </c>
      <c r="H584" s="116">
        <f t="shared" si="112"/>
        <v>0.68589408754058467</v>
      </c>
      <c r="I584" s="115">
        <f t="shared" si="117"/>
        <v>0.68589408754058467</v>
      </c>
      <c r="J584" s="113">
        <f t="shared" si="118"/>
        <v>3.018345886256113</v>
      </c>
      <c r="K584" s="113">
        <f t="shared" si="119"/>
        <v>0.28801369470647348</v>
      </c>
      <c r="L584" s="111">
        <f t="shared" si="113"/>
        <v>0.10377908938633797</v>
      </c>
      <c r="M584" s="113">
        <f t="shared" si="114"/>
        <v>1.4810028325708881E-2</v>
      </c>
      <c r="N584" s="113">
        <v>0</v>
      </c>
      <c r="O584" s="113">
        <f t="shared" si="120"/>
        <v>4.2095632813437938</v>
      </c>
      <c r="P584" s="113">
        <f t="shared" si="121"/>
        <v>0.39609572179891905</v>
      </c>
      <c r="Q584" s="114">
        <f t="shared" si="122"/>
        <v>0.19103725026162888</v>
      </c>
      <c r="R584" s="114">
        <f t="shared" si="123"/>
        <v>2.381414466341808E-2</v>
      </c>
      <c r="S584" s="113">
        <f t="shared" si="124"/>
        <v>2.5031863157770801E-2</v>
      </c>
      <c r="T584" s="113">
        <f t="shared" si="125"/>
        <v>3.8897978704636468E-4</v>
      </c>
      <c r="U584" s="113">
        <f t="shared" si="129"/>
        <v>3.1203988207412566E-3</v>
      </c>
      <c r="V584" s="112">
        <f t="shared" si="126"/>
        <v>0.10416806917338434</v>
      </c>
      <c r="W584" s="112">
        <f t="shared" si="127"/>
        <v>3.9841891483479684E-2</v>
      </c>
      <c r="X584" s="112">
        <f t="shared" si="128"/>
        <v>3.1203988207412566E-3</v>
      </c>
      <c r="Z584" s="111">
        <f t="shared" si="115"/>
        <v>1.1486328331332412E-9</v>
      </c>
      <c r="AA584" s="111">
        <f t="shared" si="116"/>
        <v>3.3261063625827912E-5</v>
      </c>
    </row>
    <row r="585" spans="1:27" x14ac:dyDescent="0.25">
      <c r="A585" t="s">
        <v>2061</v>
      </c>
      <c r="B585" s="96">
        <v>38</v>
      </c>
      <c r="C585" s="119">
        <v>2760.7739999999999</v>
      </c>
      <c r="D585" s="119">
        <f t="shared" si="109"/>
        <v>2760.7739999999999</v>
      </c>
      <c r="E585" s="118">
        <f t="shared" si="95"/>
        <v>1</v>
      </c>
      <c r="F585" s="117">
        <f t="shared" si="110"/>
        <v>4.9150258637357815</v>
      </c>
      <c r="G585" s="117">
        <f t="shared" si="111"/>
        <v>0.41096403081278327</v>
      </c>
      <c r="H585" s="116">
        <f t="shared" si="112"/>
        <v>0.65350081026649576</v>
      </c>
      <c r="I585" s="115">
        <f t="shared" si="117"/>
        <v>0.65350081026649576</v>
      </c>
      <c r="J585" s="113">
        <f t="shared" si="118"/>
        <v>3.2119733844321163</v>
      </c>
      <c r="K585" s="113">
        <f t="shared" si="119"/>
        <v>0.26856532712653897</v>
      </c>
      <c r="L585" s="111">
        <f t="shared" si="113"/>
        <v>8.6068359079865611E-2</v>
      </c>
      <c r="M585" s="113">
        <f t="shared" si="114"/>
        <v>1.471561802896163E-2</v>
      </c>
      <c r="N585" s="113">
        <v>0</v>
      </c>
      <c r="O585" s="113">
        <f t="shared" si="120"/>
        <v>4.2095632813437938</v>
      </c>
      <c r="P585" s="113">
        <f t="shared" si="121"/>
        <v>0.39609572179891905</v>
      </c>
      <c r="Q585" s="114">
        <f t="shared" si="122"/>
        <v>0.70546258239198778</v>
      </c>
      <c r="R585" s="114">
        <f t="shared" si="123"/>
        <v>1.4868309013864212E-2</v>
      </c>
      <c r="S585" s="113">
        <f t="shared" si="124"/>
        <v>0.3252326201952726</v>
      </c>
      <c r="T585" s="113">
        <f t="shared" si="125"/>
        <v>1.4446721067377219E-4</v>
      </c>
      <c r="U585" s="113">
        <f t="shared" si="129"/>
        <v>6.8545933110384736E-3</v>
      </c>
      <c r="V585" s="112">
        <f t="shared" si="126"/>
        <v>8.6212826290539377E-2</v>
      </c>
      <c r="W585" s="112">
        <f t="shared" si="127"/>
        <v>0.33994823822423426</v>
      </c>
      <c r="X585" s="112">
        <f t="shared" si="128"/>
        <v>6.8545933110384736E-3</v>
      </c>
      <c r="Z585" s="111">
        <f t="shared" si="115"/>
        <v>1.1759222802973206E-9</v>
      </c>
      <c r="AA585" s="111">
        <f t="shared" si="116"/>
        <v>3.5688501374140895E-5</v>
      </c>
    </row>
    <row r="586" spans="1:27" x14ac:dyDescent="0.25">
      <c r="A586" t="s">
        <v>2061</v>
      </c>
      <c r="B586" s="96">
        <v>39</v>
      </c>
      <c r="C586" s="119">
        <v>2760.7739999999999</v>
      </c>
      <c r="D586" s="119">
        <f t="shared" si="109"/>
        <v>2760.7739999999999</v>
      </c>
      <c r="E586" s="118">
        <f t="shared" si="95"/>
        <v>1</v>
      </c>
      <c r="F586" s="117">
        <f t="shared" si="110"/>
        <v>5.4379510013123342</v>
      </c>
      <c r="G586" s="117">
        <f t="shared" si="111"/>
        <v>0.39616287543559164</v>
      </c>
      <c r="H586" s="116">
        <f t="shared" si="112"/>
        <v>0.60555526376351465</v>
      </c>
      <c r="I586" s="115">
        <f t="shared" si="117"/>
        <v>0.60555526376351465</v>
      </c>
      <c r="J586" s="113">
        <f t="shared" si="118"/>
        <v>3.292979852932759</v>
      </c>
      <c r="K586" s="113">
        <f t="shared" si="119"/>
        <v>0.2398985145277121</v>
      </c>
      <c r="L586" s="111">
        <f t="shared" si="113"/>
        <v>6.6875368189934892E-2</v>
      </c>
      <c r="M586" s="113">
        <f t="shared" si="114"/>
        <v>1.3963248145728142E-2</v>
      </c>
      <c r="N586" s="113">
        <v>0</v>
      </c>
      <c r="O586" s="113">
        <f t="shared" si="120"/>
        <v>4.2095632813437938</v>
      </c>
      <c r="P586" s="113">
        <f t="shared" si="121"/>
        <v>0.39609572179891905</v>
      </c>
      <c r="Q586" s="114">
        <f t="shared" si="122"/>
        <v>1.2283877199685405</v>
      </c>
      <c r="R586" s="114">
        <f t="shared" si="123"/>
        <v>6.715363667259E-5</v>
      </c>
      <c r="S586" s="113">
        <f t="shared" si="124"/>
        <v>0.91374437399368502</v>
      </c>
      <c r="T586" s="113">
        <f t="shared" si="125"/>
        <v>2.7308186291348177E-9</v>
      </c>
      <c r="U586" s="113">
        <f t="shared" si="129"/>
        <v>4.9952679195105118E-5</v>
      </c>
      <c r="V586" s="112">
        <f t="shared" si="126"/>
        <v>6.6875370920753519E-2</v>
      </c>
      <c r="W586" s="112">
        <f t="shared" si="127"/>
        <v>0.92770762213941316</v>
      </c>
      <c r="X586" s="112">
        <f t="shared" si="128"/>
        <v>4.9952679195105118E-5</v>
      </c>
      <c r="Z586" s="111">
        <f t="shared" si="115"/>
        <v>1.1933440583361643E-9</v>
      </c>
      <c r="AA586" s="111">
        <f t="shared" si="116"/>
        <v>3.7298337948040396E-5</v>
      </c>
    </row>
    <row r="587" spans="1:27" x14ac:dyDescent="0.25">
      <c r="A587" t="s">
        <v>2061</v>
      </c>
      <c r="B587" s="96">
        <v>40</v>
      </c>
      <c r="C587" s="119">
        <v>2760.7739999999999</v>
      </c>
      <c r="D587" s="119">
        <f t="shared" si="109"/>
        <v>2760.7739999999999</v>
      </c>
      <c r="E587" s="118">
        <f t="shared" si="95"/>
        <v>1</v>
      </c>
      <c r="F587" s="117">
        <f t="shared" si="110"/>
        <v>5.9646181916010477</v>
      </c>
      <c r="G587" s="117">
        <f t="shared" si="111"/>
        <v>0.37437198736598587</v>
      </c>
      <c r="H587" s="116">
        <f t="shared" si="112"/>
        <v>0.54634888054122188</v>
      </c>
      <c r="I587" s="115">
        <f t="shared" si="117"/>
        <v>0.54634888054122188</v>
      </c>
      <c r="J587" s="113">
        <f t="shared" si="118"/>
        <v>3.2587624718370396</v>
      </c>
      <c r="K587" s="113">
        <f t="shared" si="119"/>
        <v>0.20453771620339883</v>
      </c>
      <c r="L587" s="111">
        <f t="shared" si="113"/>
        <v>4.8876385072019045E-2</v>
      </c>
      <c r="M587" s="113">
        <f t="shared" si="114"/>
        <v>1.2659561426197251E-2</v>
      </c>
      <c r="N587" s="113">
        <v>0</v>
      </c>
      <c r="O587" s="113">
        <f t="shared" si="120"/>
        <v>4.2095632813437938</v>
      </c>
      <c r="P587" s="113">
        <f t="shared" si="121"/>
        <v>0.39609572179891905</v>
      </c>
      <c r="Q587" s="114">
        <f t="shared" si="122"/>
        <v>1.7550549102572539</v>
      </c>
      <c r="R587" s="114">
        <f t="shared" si="123"/>
        <v>-2.1723734432933184E-2</v>
      </c>
      <c r="S587" s="113">
        <f t="shared" si="124"/>
        <v>1.6828735129894021</v>
      </c>
      <c r="T587" s="113">
        <f t="shared" si="125"/>
        <v>2.5783331211858229E-4</v>
      </c>
      <c r="U587" s="113">
        <f t="shared" si="129"/>
        <v>-2.0830286885462995E-2</v>
      </c>
      <c r="V587" s="112">
        <f t="shared" si="126"/>
        <v>4.9134218384137625E-2</v>
      </c>
      <c r="W587" s="112">
        <f t="shared" si="127"/>
        <v>1.6955330744155994</v>
      </c>
      <c r="X587" s="112">
        <f t="shared" si="128"/>
        <v>-2.0830286885462995E-2</v>
      </c>
      <c r="Z587" s="111">
        <f t="shared" si="115"/>
        <v>1.1997964165302897E-9</v>
      </c>
      <c r="AA587" s="111">
        <f t="shared" si="116"/>
        <v>3.7906626471524585E-5</v>
      </c>
    </row>
    <row r="588" spans="1:27" x14ac:dyDescent="0.25">
      <c r="A588" t="s">
        <v>2061</v>
      </c>
      <c r="B588" s="96">
        <v>41</v>
      </c>
      <c r="C588" s="119">
        <v>2760.7739999999999</v>
      </c>
      <c r="D588" s="119">
        <f t="shared" si="109"/>
        <v>2760.7739999999999</v>
      </c>
      <c r="E588" s="118">
        <f t="shared" si="95"/>
        <v>1</v>
      </c>
      <c r="F588" s="117">
        <f t="shared" si="110"/>
        <v>6.4902162239720003</v>
      </c>
      <c r="G588" s="117">
        <f t="shared" si="111"/>
        <v>0.34807108152991545</v>
      </c>
      <c r="H588" s="116">
        <f t="shared" si="112"/>
        <v>0.47738181868568963</v>
      </c>
      <c r="I588" s="115">
        <f t="shared" si="117"/>
        <v>0.47738181868568963</v>
      </c>
      <c r="J588" s="113">
        <f t="shared" si="118"/>
        <v>3.0983112246631226</v>
      </c>
      <c r="K588" s="113">
        <f t="shared" si="119"/>
        <v>0.16616280593264598</v>
      </c>
      <c r="L588" s="111">
        <f t="shared" si="113"/>
        <v>3.3032428596529551E-2</v>
      </c>
      <c r="M588" s="113">
        <f t="shared" si="114"/>
        <v>1.0918437733454472E-2</v>
      </c>
      <c r="N588" s="113">
        <v>0</v>
      </c>
      <c r="O588" s="113">
        <f t="shared" si="120"/>
        <v>4.2095632813437938</v>
      </c>
      <c r="P588" s="113">
        <f t="shared" si="121"/>
        <v>0.39609572179891905</v>
      </c>
      <c r="Q588" s="114">
        <f t="shared" si="122"/>
        <v>2.2806529426282065</v>
      </c>
      <c r="R588" s="114">
        <f t="shared" si="123"/>
        <v>-4.8024640269003604E-2</v>
      </c>
      <c r="S588" s="113">
        <f t="shared" si="124"/>
        <v>2.4830432151832644</v>
      </c>
      <c r="T588" s="113">
        <f t="shared" si="125"/>
        <v>1.1010172304680549E-3</v>
      </c>
      <c r="U588" s="113">
        <f t="shared" si="129"/>
        <v>-5.2286454879955029E-2</v>
      </c>
      <c r="V588" s="112">
        <f t="shared" si="126"/>
        <v>3.4133445826997608E-2</v>
      </c>
      <c r="W588" s="112">
        <f t="shared" si="127"/>
        <v>2.493961652916719</v>
      </c>
      <c r="X588" s="112">
        <f t="shared" si="128"/>
        <v>-5.2286454879955029E-2</v>
      </c>
      <c r="Z588" s="111">
        <f t="shared" si="115"/>
        <v>1.1955374380341932E-9</v>
      </c>
      <c r="AA588" s="111">
        <f t="shared" si="116"/>
        <v>3.750438047718368E-5</v>
      </c>
    </row>
    <row r="589" spans="1:27" x14ac:dyDescent="0.25">
      <c r="A589" t="s">
        <v>2061</v>
      </c>
      <c r="B589" s="96">
        <v>42</v>
      </c>
      <c r="C589" s="119">
        <v>2760.7739999999999</v>
      </c>
      <c r="D589" s="119">
        <f t="shared" si="109"/>
        <v>2760.7739999999999</v>
      </c>
      <c r="E589" s="118">
        <f t="shared" si="95"/>
        <v>1</v>
      </c>
      <c r="F589" s="117">
        <f t="shared" si="110"/>
        <v>7.009773514107609</v>
      </c>
      <c r="G589" s="117">
        <f t="shared" si="111"/>
        <v>0.31733384223852545</v>
      </c>
      <c r="H589" s="116">
        <f t="shared" si="112"/>
        <v>0.40300061172051316</v>
      </c>
      <c r="I589" s="115">
        <f t="shared" si="117"/>
        <v>0.40300061172051316</v>
      </c>
      <c r="J589" s="113">
        <f t="shared" si="118"/>
        <v>2.8249430142076175</v>
      </c>
      <c r="K589" s="113">
        <f t="shared" si="119"/>
        <v>0.12788573254174657</v>
      </c>
      <c r="L589" s="111">
        <f t="shared" si="113"/>
        <v>2.0546521380731285E-2</v>
      </c>
      <c r="M589" s="113">
        <f t="shared" si="114"/>
        <v>8.9150139061424851E-3</v>
      </c>
      <c r="N589" s="113">
        <v>0</v>
      </c>
      <c r="O589" s="113">
        <f t="shared" si="120"/>
        <v>4.2095632813437938</v>
      </c>
      <c r="P589" s="113">
        <f t="shared" si="121"/>
        <v>0.39609572179891905</v>
      </c>
      <c r="Q589" s="114">
        <f t="shared" si="122"/>
        <v>2.8002102327638152</v>
      </c>
      <c r="R589" s="114">
        <f t="shared" si="123"/>
        <v>-7.8761879560393599E-2</v>
      </c>
      <c r="S589" s="113">
        <f t="shared" si="124"/>
        <v>3.1599992677221285</v>
      </c>
      <c r="T589" s="113">
        <f t="shared" si="125"/>
        <v>2.4999875645376661E-3</v>
      </c>
      <c r="U589" s="113">
        <f t="shared" si="129"/>
        <v>-8.8881712816830064E-2</v>
      </c>
      <c r="V589" s="112">
        <f t="shared" si="126"/>
        <v>2.304650894526895E-2</v>
      </c>
      <c r="W589" s="112">
        <f t="shared" si="127"/>
        <v>3.1689142816282709</v>
      </c>
      <c r="X589" s="112">
        <f t="shared" si="128"/>
        <v>-8.8881712816830064E-2</v>
      </c>
      <c r="Z589" s="111">
        <f t="shared" si="115"/>
        <v>1.1789096341841283E-9</v>
      </c>
      <c r="AA589" s="111">
        <f t="shared" si="116"/>
        <v>3.596118587248627E-5</v>
      </c>
    </row>
    <row r="590" spans="1:27" x14ac:dyDescent="0.25">
      <c r="A590" t="s">
        <v>2061</v>
      </c>
      <c r="B590" s="96">
        <v>43</v>
      </c>
      <c r="C590" s="119">
        <v>2760.7739999999999</v>
      </c>
      <c r="D590" s="119">
        <f t="shared" si="109"/>
        <v>2760.7739999999999</v>
      </c>
      <c r="E590" s="118">
        <f t="shared" si="95"/>
        <v>1</v>
      </c>
      <c r="F590" s="117">
        <f t="shared" si="110"/>
        <v>7.5180511882108458</v>
      </c>
      <c r="G590" s="117">
        <f t="shared" si="111"/>
        <v>0.28304540449609106</v>
      </c>
      <c r="H590" s="116">
        <f t="shared" si="112"/>
        <v>0.32745595554161544</v>
      </c>
      <c r="I590" s="115">
        <f t="shared" si="117"/>
        <v>0.32745595554161544</v>
      </c>
      <c r="J590" s="113">
        <f t="shared" si="118"/>
        <v>2.46183063564636</v>
      </c>
      <c r="K590" s="113">
        <f t="shared" si="119"/>
        <v>9.2684903390930551E-2</v>
      </c>
      <c r="L590" s="111">
        <f t="shared" si="113"/>
        <v>1.164215175221424E-2</v>
      </c>
      <c r="M590" s="113">
        <f t="shared" si="114"/>
        <v>6.8582896969778149E-3</v>
      </c>
      <c r="N590" s="113">
        <v>0</v>
      </c>
      <c r="O590" s="113">
        <f t="shared" si="120"/>
        <v>4.2095632813437938</v>
      </c>
      <c r="P590" s="113">
        <f t="shared" si="121"/>
        <v>0.39609572179891905</v>
      </c>
      <c r="Q590" s="114">
        <f t="shared" si="122"/>
        <v>3.3084879068670521</v>
      </c>
      <c r="R590" s="114">
        <f t="shared" si="123"/>
        <v>-0.113050317302828</v>
      </c>
      <c r="S590" s="113">
        <f t="shared" si="124"/>
        <v>3.5843630905838175</v>
      </c>
      <c r="T590" s="113">
        <f t="shared" si="125"/>
        <v>4.1850096596820026E-3</v>
      </c>
      <c r="U590" s="113">
        <f t="shared" si="129"/>
        <v>-0.12247691275461228</v>
      </c>
      <c r="V590" s="112">
        <f t="shared" si="126"/>
        <v>1.5827161411896242E-2</v>
      </c>
      <c r="W590" s="112">
        <f t="shared" si="127"/>
        <v>3.5912213802807953</v>
      </c>
      <c r="X590" s="112">
        <f t="shared" si="128"/>
        <v>-0.12247691275461228</v>
      </c>
      <c r="Z590" s="111">
        <f t="shared" si="115"/>
        <v>1.1496804583016699E-9</v>
      </c>
      <c r="AA590" s="111">
        <f t="shared" si="116"/>
        <v>3.3352155183496135E-5</v>
      </c>
    </row>
    <row r="591" spans="1:27" x14ac:dyDescent="0.25">
      <c r="A591" t="s">
        <v>2061</v>
      </c>
      <c r="B591" s="96">
        <v>44</v>
      </c>
      <c r="C591" s="119">
        <v>2760.7739999999999</v>
      </c>
      <c r="D591" s="119">
        <f t="shared" si="109"/>
        <v>2760.7739999999999</v>
      </c>
      <c r="E591" s="118">
        <f t="shared" si="95"/>
        <v>1</v>
      </c>
      <c r="F591" s="117">
        <f t="shared" si="110"/>
        <v>8.0094896251093584</v>
      </c>
      <c r="G591" s="117">
        <f t="shared" si="111"/>
        <v>0.24641233208629829</v>
      </c>
      <c r="H591" s="116">
        <f t="shared" si="112"/>
        <v>0.25467313158714561</v>
      </c>
      <c r="I591" s="115">
        <f t="shared" si="117"/>
        <v>0.25467313158714561</v>
      </c>
      <c r="J591" s="113">
        <f t="shared" si="118"/>
        <v>2.0398018052413533</v>
      </c>
      <c r="K591" s="113">
        <f t="shared" si="119"/>
        <v>6.2754600274109271E-2</v>
      </c>
      <c r="L591" s="111">
        <f t="shared" si="113"/>
        <v>5.9359148599372599E-3</v>
      </c>
      <c r="M591" s="113">
        <f t="shared" si="114"/>
        <v>4.9213285456594959E-3</v>
      </c>
      <c r="N591" s="113">
        <v>0</v>
      </c>
      <c r="O591" s="113">
        <f t="shared" si="120"/>
        <v>4.2095632813437938</v>
      </c>
      <c r="P591" s="113">
        <f t="shared" si="121"/>
        <v>0.39609572179891905</v>
      </c>
      <c r="Q591" s="114">
        <f t="shared" si="122"/>
        <v>3.7999263437655646</v>
      </c>
      <c r="R591" s="114">
        <f t="shared" si="123"/>
        <v>-0.14968338971262077</v>
      </c>
      <c r="S591" s="113">
        <f t="shared" si="124"/>
        <v>3.6773374586945224</v>
      </c>
      <c r="T591" s="113">
        <f t="shared" si="125"/>
        <v>5.7059813496598251E-3</v>
      </c>
      <c r="U591" s="113">
        <f t="shared" si="129"/>
        <v>-0.14485447509730723</v>
      </c>
      <c r="V591" s="112">
        <f t="shared" si="126"/>
        <v>1.1641896209597085E-2</v>
      </c>
      <c r="W591" s="112">
        <f t="shared" si="127"/>
        <v>3.682258787240182</v>
      </c>
      <c r="X591" s="112">
        <f t="shared" si="128"/>
        <v>-0.14485447509730723</v>
      </c>
      <c r="Z591" s="111">
        <f t="shared" si="115"/>
        <v>1.1060499222287052E-9</v>
      </c>
      <c r="AA591" s="111">
        <f t="shared" si="116"/>
        <v>2.96972778989607E-5</v>
      </c>
    </row>
    <row r="592" spans="1:27" x14ac:dyDescent="0.25">
      <c r="A592" t="s">
        <v>2061</v>
      </c>
      <c r="B592" s="96">
        <v>45</v>
      </c>
      <c r="C592" s="119">
        <v>2760.7739999999999</v>
      </c>
      <c r="D592" s="119">
        <f t="shared" si="109"/>
        <v>2760.7739999999999</v>
      </c>
      <c r="E592" s="118">
        <f t="shared" si="95"/>
        <v>1</v>
      </c>
      <c r="F592" s="117">
        <f t="shared" si="110"/>
        <v>8.4780480825678008</v>
      </c>
      <c r="G592" s="117">
        <f t="shared" si="111"/>
        <v>0.20884791518914264</v>
      </c>
      <c r="H592" s="116">
        <f t="shared" si="112"/>
        <v>0.18816782624483649</v>
      </c>
      <c r="I592" s="115">
        <f t="shared" si="117"/>
        <v>0.18816782624483649</v>
      </c>
      <c r="J592" s="113">
        <f t="shared" si="118"/>
        <v>1.5952958784959872</v>
      </c>
      <c r="K592" s="113">
        <f t="shared" si="119"/>
        <v>3.9298458216906938E-2</v>
      </c>
      <c r="L592" s="111">
        <f t="shared" si="113"/>
        <v>2.6751496150811266E-3</v>
      </c>
      <c r="M592" s="113">
        <f t="shared" si="114"/>
        <v>3.254399790305501E-3</v>
      </c>
      <c r="N592" s="113">
        <v>0</v>
      </c>
      <c r="O592" s="113">
        <f t="shared" si="120"/>
        <v>4.2095632813437938</v>
      </c>
      <c r="P592" s="113">
        <f t="shared" si="121"/>
        <v>0.39609572179891905</v>
      </c>
      <c r="Q592" s="114">
        <f t="shared" si="122"/>
        <v>4.2684848012240071</v>
      </c>
      <c r="R592" s="114">
        <f t="shared" si="123"/>
        <v>-0.18724780660977641</v>
      </c>
      <c r="S592" s="113">
        <f t="shared" si="124"/>
        <v>3.4284107375638544</v>
      </c>
      <c r="T592" s="113">
        <f t="shared" si="125"/>
        <v>6.5974916034152939E-3</v>
      </c>
      <c r="U592" s="113">
        <f t="shared" si="129"/>
        <v>-0.15039584786202165</v>
      </c>
      <c r="V592" s="112">
        <f t="shared" si="126"/>
        <v>9.2726412184964205E-3</v>
      </c>
      <c r="W592" s="112">
        <f t="shared" si="127"/>
        <v>3.4316651373541598</v>
      </c>
      <c r="X592" s="112">
        <f t="shared" si="128"/>
        <v>-0.15039584786202165</v>
      </c>
      <c r="Z592" s="111">
        <f t="shared" si="115"/>
        <v>1.0472970648972852E-9</v>
      </c>
      <c r="AA592" s="111">
        <f t="shared" si="116"/>
        <v>2.5211699003648705E-5</v>
      </c>
    </row>
    <row r="593" spans="1:27" x14ac:dyDescent="0.25">
      <c r="A593" t="s">
        <v>2061</v>
      </c>
      <c r="B593" s="96">
        <v>46</v>
      </c>
      <c r="C593" s="119">
        <v>2760.7739999999999</v>
      </c>
      <c r="D593" s="119">
        <f t="shared" si="109"/>
        <v>2760.7739999999999</v>
      </c>
      <c r="E593" s="118">
        <f t="shared" si="95"/>
        <v>1</v>
      </c>
      <c r="F593" s="117">
        <f t="shared" si="110"/>
        <v>8.9172046972878363</v>
      </c>
      <c r="G593" s="117">
        <f t="shared" si="111"/>
        <v>0.17146715783564598</v>
      </c>
      <c r="H593" s="116">
        <f t="shared" si="112"/>
        <v>0.13064435906674721</v>
      </c>
      <c r="I593" s="115">
        <f t="shared" si="117"/>
        <v>0.13064435906674721</v>
      </c>
      <c r="J593" s="113">
        <f t="shared" si="118"/>
        <v>1.164982492344157</v>
      </c>
      <c r="K593" s="113">
        <f t="shared" si="119"/>
        <v>2.2401216936434751E-2</v>
      </c>
      <c r="L593" s="111">
        <f t="shared" si="113"/>
        <v>1.0397614193120386E-3</v>
      </c>
      <c r="M593" s="113">
        <f t="shared" si="114"/>
        <v>1.9456578003950401E-3</v>
      </c>
      <c r="N593" s="113">
        <v>0</v>
      </c>
      <c r="O593" s="113">
        <f t="shared" si="120"/>
        <v>4.2095632813437938</v>
      </c>
      <c r="P593" s="113">
        <f t="shared" si="121"/>
        <v>0.39609572179891905</v>
      </c>
      <c r="Q593" s="114">
        <f t="shared" si="122"/>
        <v>4.7076414159440425</v>
      </c>
      <c r="R593" s="114">
        <f t="shared" si="123"/>
        <v>-0.22462856396327308</v>
      </c>
      <c r="S593" s="113">
        <f t="shared" si="124"/>
        <v>2.8953256144209569</v>
      </c>
      <c r="T593" s="113">
        <f t="shared" si="125"/>
        <v>6.5920519917391038E-3</v>
      </c>
      <c r="U593" s="113">
        <f t="shared" si="129"/>
        <v>-0.13815258587256668</v>
      </c>
      <c r="V593" s="112">
        <f t="shared" si="126"/>
        <v>7.6318134110511422E-3</v>
      </c>
      <c r="W593" s="112">
        <f t="shared" si="127"/>
        <v>2.8972712722213521</v>
      </c>
      <c r="X593" s="112">
        <f t="shared" si="128"/>
        <v>-0.13815258587256668</v>
      </c>
      <c r="Z593" s="111">
        <f t="shared" si="115"/>
        <v>9.7220424985317205E-10</v>
      </c>
      <c r="AA593" s="111">
        <f t="shared" si="116"/>
        <v>2.0168100645005297E-5</v>
      </c>
    </row>
    <row r="594" spans="1:27" x14ac:dyDescent="0.25">
      <c r="A594" t="s">
        <v>2061</v>
      </c>
      <c r="B594" s="96">
        <v>47</v>
      </c>
      <c r="C594" s="119">
        <v>2760.7739999999999</v>
      </c>
      <c r="D594" s="119">
        <f t="shared" si="109"/>
        <v>2760.7739999999999</v>
      </c>
      <c r="E594" s="118">
        <f t="shared" si="95"/>
        <v>1</v>
      </c>
      <c r="F594" s="117">
        <f t="shared" si="110"/>
        <v>9.3202772322834591</v>
      </c>
      <c r="G594" s="117">
        <f t="shared" si="111"/>
        <v>0.13307202644962787</v>
      </c>
      <c r="H594" s="116">
        <f t="shared" si="112"/>
        <v>8.5619530350971876E-2</v>
      </c>
      <c r="I594" s="115">
        <f t="shared" si="117"/>
        <v>8.5619530350971876E-2</v>
      </c>
      <c r="J594" s="113">
        <f t="shared" si="118"/>
        <v>0.79799775936896578</v>
      </c>
      <c r="K594" s="113">
        <f t="shared" si="119"/>
        <v>1.1393564407469246E-2</v>
      </c>
      <c r="L594" s="111">
        <f t="shared" si="113"/>
        <v>3.5582216209813379E-4</v>
      </c>
      <c r="M594" s="113">
        <f t="shared" si="114"/>
        <v>1.0488077279244036E-3</v>
      </c>
      <c r="N594" s="113">
        <v>0</v>
      </c>
      <c r="O594" s="113">
        <f t="shared" si="120"/>
        <v>4.2095632813437938</v>
      </c>
      <c r="P594" s="113">
        <f t="shared" si="121"/>
        <v>0.39609572179891905</v>
      </c>
      <c r="Q594" s="114">
        <f t="shared" si="122"/>
        <v>5.1107139509396653</v>
      </c>
      <c r="R594" s="114">
        <f t="shared" si="123"/>
        <v>-0.26302369534929115</v>
      </c>
      <c r="S594" s="113">
        <f t="shared" si="124"/>
        <v>2.236330511753299</v>
      </c>
      <c r="T594" s="113">
        <f t="shared" si="125"/>
        <v>5.9232844836596644E-3</v>
      </c>
      <c r="U594" s="113">
        <f t="shared" si="129"/>
        <v>-0.11509310066464884</v>
      </c>
      <c r="V594" s="112">
        <f t="shared" si="126"/>
        <v>6.2791066457577984E-3</v>
      </c>
      <c r="W594" s="112">
        <f t="shared" si="127"/>
        <v>2.2373793194812235</v>
      </c>
      <c r="X594" s="112">
        <f t="shared" si="128"/>
        <v>-0.11509310066464884</v>
      </c>
      <c r="Z594" s="111">
        <f t="shared" si="115"/>
        <v>8.8181091169835451E-10</v>
      </c>
      <c r="AA594" s="111">
        <f t="shared" si="116"/>
        <v>1.5049388721326449E-5</v>
      </c>
    </row>
    <row r="595" spans="1:27" x14ac:dyDescent="0.25">
      <c r="A595" t="s">
        <v>2061</v>
      </c>
      <c r="B595" s="96">
        <v>48</v>
      </c>
      <c r="C595" s="119">
        <v>2760.7739999999999</v>
      </c>
      <c r="D595" s="119">
        <f t="shared" si="109"/>
        <v>2760.7739999999999</v>
      </c>
      <c r="E595" s="118">
        <f t="shared" si="95"/>
        <v>1</v>
      </c>
      <c r="F595" s="117">
        <f t="shared" si="110"/>
        <v>9.6809041979440025</v>
      </c>
      <c r="G595" s="117">
        <f t="shared" si="111"/>
        <v>9.8476510809335616E-2</v>
      </c>
      <c r="H595" s="116">
        <f t="shared" si="112"/>
        <v>5.0132446458609418E-2</v>
      </c>
      <c r="I595" s="115">
        <f t="shared" si="117"/>
        <v>5.0132446458609418E-2</v>
      </c>
      <c r="J595" s="113">
        <f t="shared" si="118"/>
        <v>0.48532741137435487</v>
      </c>
      <c r="K595" s="113">
        <f t="shared" si="119"/>
        <v>4.9368684055796893E-3</v>
      </c>
      <c r="L595" s="111">
        <f t="shared" si="113"/>
        <v>9.1985118392595215E-5</v>
      </c>
      <c r="M595" s="113">
        <f t="shared" si="114"/>
        <v>4.7686509088171761E-4</v>
      </c>
      <c r="N595" s="113">
        <v>0</v>
      </c>
      <c r="O595" s="113">
        <f t="shared" si="120"/>
        <v>4.2095632813437938</v>
      </c>
      <c r="P595" s="113">
        <f t="shared" si="121"/>
        <v>0.39609572179891905</v>
      </c>
      <c r="Q595" s="114">
        <f t="shared" si="122"/>
        <v>5.4713409166002087</v>
      </c>
      <c r="R595" s="114">
        <f t="shared" si="123"/>
        <v>-0.29761921098958344</v>
      </c>
      <c r="S595" s="113">
        <f t="shared" si="124"/>
        <v>1.5007434317049591</v>
      </c>
      <c r="T595" s="113">
        <f t="shared" si="125"/>
        <v>4.440591473261311E-3</v>
      </c>
      <c r="U595" s="113">
        <f t="shared" si="129"/>
        <v>-8.1634480989236161E-2</v>
      </c>
      <c r="V595" s="112">
        <f t="shared" si="126"/>
        <v>4.5325765916539064E-3</v>
      </c>
      <c r="W595" s="112">
        <f t="shared" si="127"/>
        <v>1.5012202967958408</v>
      </c>
      <c r="X595" s="112">
        <f t="shared" si="128"/>
        <v>-8.1634480989236161E-2</v>
      </c>
      <c r="Z595" s="111">
        <f t="shared" si="115"/>
        <v>7.7727024890504047E-10</v>
      </c>
      <c r="AA595" s="111">
        <f t="shared" si="116"/>
        <v>1.0306437850571459E-5</v>
      </c>
    </row>
    <row r="596" spans="1:27" x14ac:dyDescent="0.25">
      <c r="A596" t="s">
        <v>2061</v>
      </c>
      <c r="B596" s="96">
        <v>49</v>
      </c>
      <c r="C596" s="119">
        <v>2760.7739999999999</v>
      </c>
      <c r="D596" s="119">
        <f t="shared" si="109"/>
        <v>2760.7739999999999</v>
      </c>
      <c r="E596" s="118">
        <f t="shared" si="95"/>
        <v>1</v>
      </c>
      <c r="F596" s="117">
        <f t="shared" si="110"/>
        <v>9.9936863467847736</v>
      </c>
      <c r="G596" s="117">
        <f t="shared" si="111"/>
        <v>6.6538860538588623E-2</v>
      </c>
      <c r="H596" s="116">
        <f t="shared" si="112"/>
        <v>2.5448502226843622E-2</v>
      </c>
      <c r="I596" s="115">
        <f t="shared" si="117"/>
        <v>2.5448502226843622E-2</v>
      </c>
      <c r="J596" s="113">
        <f t="shared" si="118"/>
        <v>0.25432434925052899</v>
      </c>
      <c r="K596" s="113">
        <f t="shared" si="119"/>
        <v>1.6933143405879097E-3</v>
      </c>
      <c r="L596" s="111">
        <f t="shared" si="113"/>
        <v>1.6591831417388669E-5</v>
      </c>
      <c r="M596" s="113">
        <f t="shared" si="114"/>
        <v>1.7554646542734714E-4</v>
      </c>
      <c r="N596" s="113">
        <v>0</v>
      </c>
      <c r="O596" s="113">
        <f t="shared" si="120"/>
        <v>4.2095632813437938</v>
      </c>
      <c r="P596" s="113">
        <f t="shared" si="121"/>
        <v>0.39609572179891905</v>
      </c>
      <c r="Q596" s="114">
        <f t="shared" si="122"/>
        <v>5.7841230654409799</v>
      </c>
      <c r="R596" s="114">
        <f t="shared" si="123"/>
        <v>-0.32955686126033046</v>
      </c>
      <c r="S596" s="113">
        <f t="shared" si="124"/>
        <v>0.85140711712243711</v>
      </c>
      <c r="T596" s="113">
        <f t="shared" si="125"/>
        <v>2.7639039265209232E-3</v>
      </c>
      <c r="U596" s="113">
        <f t="shared" si="129"/>
        <v>-4.8509869862560583E-2</v>
      </c>
      <c r="V596" s="112">
        <f t="shared" si="126"/>
        <v>2.780495757938312E-3</v>
      </c>
      <c r="W596" s="112">
        <f t="shared" si="127"/>
        <v>0.8515826635878645</v>
      </c>
      <c r="X596" s="112">
        <f t="shared" si="128"/>
        <v>-4.8509869862560583E-2</v>
      </c>
      <c r="Z596" s="111">
        <f t="shared" si="115"/>
        <v>6.6216321523095541E-10</v>
      </c>
      <c r="AA596" s="111">
        <f t="shared" si="116"/>
        <v>6.3721737217414897E-6</v>
      </c>
    </row>
    <row r="597" spans="1:27" x14ac:dyDescent="0.25">
      <c r="A597" t="s">
        <v>2061</v>
      </c>
      <c r="B597" s="96">
        <v>50</v>
      </c>
      <c r="C597" s="119">
        <v>2760.7739999999999</v>
      </c>
      <c r="D597" s="119">
        <f t="shared" si="109"/>
        <v>2760.7739999999999</v>
      </c>
      <c r="E597" s="118">
        <f t="shared" si="95"/>
        <v>1</v>
      </c>
      <c r="F597" s="117">
        <f t="shared" si="110"/>
        <v>10.254400505030617</v>
      </c>
      <c r="G597" s="117">
        <f t="shared" si="111"/>
        <v>3.8930766787628267E-2</v>
      </c>
      <c r="H597" s="116">
        <f t="shared" si="112"/>
        <v>1.0338816208811602E-2</v>
      </c>
      <c r="I597" s="115">
        <f t="shared" si="117"/>
        <v>1.0338816208811602E-2</v>
      </c>
      <c r="J597" s="113">
        <f t="shared" si="118"/>
        <v>0.10601836215305642</v>
      </c>
      <c r="K597" s="113">
        <f t="shared" si="119"/>
        <v>4.0249804268539552E-4</v>
      </c>
      <c r="L597" s="111">
        <f t="shared" si="113"/>
        <v>1.6859596278852269E-6</v>
      </c>
      <c r="M597" s="113">
        <f t="shared" si="114"/>
        <v>4.7062348688452648E-5</v>
      </c>
      <c r="N597" s="113">
        <v>0</v>
      </c>
      <c r="O597" s="113">
        <f t="shared" si="120"/>
        <v>4.2095632813437938</v>
      </c>
      <c r="P597" s="113">
        <f t="shared" si="121"/>
        <v>0.39609572179891905</v>
      </c>
      <c r="Q597" s="114">
        <f t="shared" si="122"/>
        <v>6.0448372236868231</v>
      </c>
      <c r="R597" s="114">
        <f t="shared" si="123"/>
        <v>-0.35716495501129081</v>
      </c>
      <c r="S597" s="113">
        <f t="shared" si="124"/>
        <v>0.37778093421182174</v>
      </c>
      <c r="T597" s="113">
        <f t="shared" si="125"/>
        <v>1.3188897521523722E-3</v>
      </c>
      <c r="U597" s="113">
        <f t="shared" si="129"/>
        <v>-2.2321545705674625E-2</v>
      </c>
      <c r="V597" s="112">
        <f t="shared" si="126"/>
        <v>1.3205757117802574E-3</v>
      </c>
      <c r="W597" s="112">
        <f t="shared" si="127"/>
        <v>0.37782799656051019</v>
      </c>
      <c r="X597" s="112">
        <f t="shared" si="128"/>
        <v>-2.2321545705674625E-2</v>
      </c>
      <c r="Z597" s="111">
        <f t="shared" si="115"/>
        <v>5.3763104551789461E-10</v>
      </c>
      <c r="AA597" s="111">
        <f t="shared" si="116"/>
        <v>3.4107153179930676E-6</v>
      </c>
    </row>
    <row r="598" spans="1:27" x14ac:dyDescent="0.25">
      <c r="A598" t="s">
        <v>2061</v>
      </c>
      <c r="B598" s="96">
        <v>51</v>
      </c>
      <c r="C598" s="119">
        <v>2760.7739999999999</v>
      </c>
      <c r="D598" s="119">
        <f t="shared" si="109"/>
        <v>2760.7739999999999</v>
      </c>
      <c r="E598" s="118">
        <f t="shared" si="95"/>
        <v>1</v>
      </c>
      <c r="F598" s="117">
        <f t="shared" si="110"/>
        <v>10.458395835739278</v>
      </c>
      <c r="G598" s="117">
        <f t="shared" si="111"/>
        <v>1.7719642551818363E-2</v>
      </c>
      <c r="H598" s="116">
        <f t="shared" si="112"/>
        <v>2.8420325543757553E-3</v>
      </c>
      <c r="I598" s="115">
        <f t="shared" si="117"/>
        <v>2.8420325543757553E-3</v>
      </c>
      <c r="J598" s="113">
        <f t="shared" si="118"/>
        <v>2.9723101431718864E-2</v>
      </c>
      <c r="K598" s="113">
        <f t="shared" si="119"/>
        <v>5.0359800984169667E-5</v>
      </c>
      <c r="L598" s="111">
        <f t="shared" si="113"/>
        <v>6.2986427573799752E-8</v>
      </c>
      <c r="M598" s="113">
        <f t="shared" si="114"/>
        <v>7.1929447441560496E-6</v>
      </c>
      <c r="N598" s="113">
        <v>0</v>
      </c>
      <c r="O598" s="113">
        <f t="shared" si="120"/>
        <v>4.2095632813437938</v>
      </c>
      <c r="P598" s="113">
        <f t="shared" si="121"/>
        <v>0.39609572179891905</v>
      </c>
      <c r="Q598" s="114">
        <f t="shared" si="122"/>
        <v>6.2488325543954844</v>
      </c>
      <c r="R598" s="114">
        <f t="shared" si="123"/>
        <v>-0.37837607924710071</v>
      </c>
      <c r="S598" s="113">
        <f t="shared" si="124"/>
        <v>0.1109754265486235</v>
      </c>
      <c r="T598" s="113">
        <f t="shared" si="125"/>
        <v>4.0688941653824895E-4</v>
      </c>
      <c r="U598" s="113">
        <f t="shared" si="129"/>
        <v>-6.7197266728976955E-3</v>
      </c>
      <c r="V598" s="112">
        <f t="shared" si="126"/>
        <v>4.0695240296582274E-4</v>
      </c>
      <c r="W598" s="112">
        <f t="shared" si="127"/>
        <v>0.11098261949336766</v>
      </c>
      <c r="X598" s="112">
        <f t="shared" si="128"/>
        <v>-6.7197266728976955E-3</v>
      </c>
      <c r="Z598" s="111">
        <f t="shared" si="115"/>
        <v>4.0002120660455841E-10</v>
      </c>
      <c r="AA598" s="111">
        <f t="shared" si="116"/>
        <v>1.4048873461698036E-6</v>
      </c>
    </row>
    <row r="599" spans="1:27" x14ac:dyDescent="0.25">
      <c r="A599" t="s">
        <v>2061</v>
      </c>
      <c r="B599" s="96">
        <v>52</v>
      </c>
      <c r="C599" s="119">
        <v>2760.7739999999999</v>
      </c>
      <c r="D599" s="119">
        <f t="shared" si="109"/>
        <v>2760.7739999999999</v>
      </c>
      <c r="E599" s="118">
        <f t="shared" si="95"/>
        <v>1</v>
      </c>
      <c r="F599" s="117">
        <f t="shared" si="110"/>
        <v>10.599952344050738</v>
      </c>
      <c r="G599" s="117">
        <f t="shared" si="111"/>
        <v>4.466068383793635E-3</v>
      </c>
      <c r="H599" s="116">
        <f t="shared" si="112"/>
        <v>3.5441261760261664E-4</v>
      </c>
      <c r="I599" s="115">
        <f t="shared" si="117"/>
        <v>3.5441261760261664E-4</v>
      </c>
      <c r="J599" s="113">
        <f t="shared" si="118"/>
        <v>3.7567568567180142E-3</v>
      </c>
      <c r="K599" s="113">
        <f t="shared" si="119"/>
        <v>1.5828309862925896E-6</v>
      </c>
      <c r="L599" s="111">
        <f t="shared" si="113"/>
        <v>3.1316052316848015E-10</v>
      </c>
      <c r="M599" s="113">
        <f t="shared" si="114"/>
        <v>3.4987039714843459E-7</v>
      </c>
      <c r="N599" s="113">
        <v>0</v>
      </c>
      <c r="O599" s="113">
        <f t="shared" si="120"/>
        <v>4.2095632813437938</v>
      </c>
      <c r="P599" s="113">
        <f t="shared" si="121"/>
        <v>0.39609572179891905</v>
      </c>
      <c r="Q599" s="114">
        <f t="shared" si="122"/>
        <v>6.3903890627069444</v>
      </c>
      <c r="R599" s="114">
        <f t="shared" si="123"/>
        <v>-0.3916296534151254</v>
      </c>
      <c r="S599" s="113">
        <f t="shared" si="124"/>
        <v>1.4473173714858978E-2</v>
      </c>
      <c r="T599" s="113">
        <f t="shared" si="125"/>
        <v>5.4357604767304183E-5</v>
      </c>
      <c r="U599" s="113">
        <f t="shared" si="129"/>
        <v>-8.8697635623551986E-4</v>
      </c>
      <c r="V599" s="112">
        <f t="shared" si="126"/>
        <v>5.4357917927827351E-5</v>
      </c>
      <c r="W599" s="112">
        <f t="shared" si="127"/>
        <v>1.4473523585256127E-2</v>
      </c>
      <c r="X599" s="112">
        <f t="shared" si="128"/>
        <v>-8.8697635623551986E-4</v>
      </c>
      <c r="Z599" s="111">
        <f t="shared" si="115"/>
        <v>2.4890157783625557E-10</v>
      </c>
      <c r="AA599" s="111">
        <f t="shared" si="116"/>
        <v>3.3843510381244672E-7</v>
      </c>
    </row>
    <row r="600" spans="1:27" x14ac:dyDescent="0.25">
      <c r="A600" t="s">
        <v>2061</v>
      </c>
      <c r="B600" s="96">
        <v>53</v>
      </c>
      <c r="C600" s="119">
        <v>2760.7739999999999</v>
      </c>
      <c r="D600" s="119">
        <f t="shared" si="109"/>
        <v>2760.7739999999999</v>
      </c>
      <c r="E600" s="118">
        <f t="shared" si="95"/>
        <v>1</v>
      </c>
      <c r="F600" s="117">
        <f t="shared" si="110"/>
        <v>10.672975829833767</v>
      </c>
      <c r="G600" s="117">
        <f t="shared" si="111"/>
        <v>0</v>
      </c>
      <c r="H600" s="116">
        <f t="shared" si="112"/>
        <v>0</v>
      </c>
      <c r="I600" s="115">
        <f t="shared" si="117"/>
        <v>0</v>
      </c>
      <c r="J600" s="113">
        <f t="shared" si="118"/>
        <v>0</v>
      </c>
      <c r="K600" s="113">
        <f t="shared" si="119"/>
        <v>0</v>
      </c>
      <c r="L600" s="234">
        <f t="shared" si="113"/>
        <v>0</v>
      </c>
      <c r="M600" s="113">
        <f t="shared" si="114"/>
        <v>0</v>
      </c>
      <c r="N600" s="113">
        <v>0</v>
      </c>
      <c r="O600" s="113">
        <f t="shared" si="120"/>
        <v>4.2095632813437938</v>
      </c>
      <c r="P600" s="113">
        <f t="shared" si="121"/>
        <v>0.39609572179891905</v>
      </c>
      <c r="Q600" s="114">
        <f t="shared" si="122"/>
        <v>6.4634125484899734</v>
      </c>
      <c r="R600" s="114">
        <f t="shared" si="123"/>
        <v>-0.39609572179891905</v>
      </c>
      <c r="S600" s="113">
        <f t="shared" si="124"/>
        <v>0</v>
      </c>
      <c r="T600" s="113">
        <f t="shared" si="125"/>
        <v>0</v>
      </c>
      <c r="U600" s="113">
        <f t="shared" si="129"/>
        <v>0</v>
      </c>
      <c r="V600" s="112">
        <f t="shared" si="126"/>
        <v>0</v>
      </c>
      <c r="W600" s="112">
        <f t="shared" si="127"/>
        <v>0</v>
      </c>
      <c r="X600" s="112">
        <f t="shared" si="128"/>
        <v>0</v>
      </c>
      <c r="Z600" s="111">
        <f t="shared" si="115"/>
        <v>8.4830594022810565E-11</v>
      </c>
      <c r="AA600" s="111">
        <f t="shared" si="116"/>
        <v>1.3398308667675027E-8</v>
      </c>
    </row>
    <row r="601" spans="1:27" x14ac:dyDescent="0.25">
      <c r="A601" t="s">
        <v>2061</v>
      </c>
      <c r="B601" s="96">
        <v>54</v>
      </c>
      <c r="C601" s="119">
        <v>2760.7739999999999</v>
      </c>
      <c r="D601" s="119">
        <f t="shared" si="109"/>
        <v>2760.7739999999999</v>
      </c>
      <c r="E601" s="118">
        <f t="shared" si="95"/>
        <v>1</v>
      </c>
      <c r="F601" s="117"/>
      <c r="G601" s="117"/>
      <c r="H601" s="116"/>
      <c r="I601" s="115">
        <f t="shared" si="117"/>
        <v>0</v>
      </c>
      <c r="J601" s="113">
        <f t="shared" si="118"/>
        <v>0</v>
      </c>
      <c r="K601" s="113">
        <f t="shared" si="119"/>
        <v>0</v>
      </c>
      <c r="L601" s="111">
        <f>(Z601+AA601)/2+((Z601-AA601)/2)*COS(2*CG139)</f>
        <v>0</v>
      </c>
      <c r="M601" s="113">
        <f>(Z601+AA601)/2-((Z601*AA601)/2)*COS(2*CG139)</f>
        <v>0</v>
      </c>
      <c r="N601" s="113">
        <v>0</v>
      </c>
      <c r="O601" s="113">
        <f t="shared" si="120"/>
        <v>4.2095632813437938</v>
      </c>
      <c r="P601" s="113">
        <f t="shared" si="121"/>
        <v>0.39609572179891905</v>
      </c>
      <c r="Q601" s="114">
        <f t="shared" si="122"/>
        <v>-4.2095632813437938</v>
      </c>
      <c r="R601" s="114">
        <f t="shared" si="123"/>
        <v>-0.39609572179891905</v>
      </c>
      <c r="S601" s="113">
        <f t="shared" si="124"/>
        <v>0</v>
      </c>
      <c r="T601" s="113">
        <f t="shared" si="125"/>
        <v>0</v>
      </c>
      <c r="U601" s="113">
        <f t="shared" si="129"/>
        <v>0</v>
      </c>
      <c r="V601" s="112">
        <f t="shared" si="126"/>
        <v>0</v>
      </c>
      <c r="W601" s="112">
        <f t="shared" si="127"/>
        <v>0</v>
      </c>
      <c r="X601" s="112">
        <f t="shared" si="128"/>
        <v>0</v>
      </c>
      <c r="Z601" s="111"/>
      <c r="AA601" s="111"/>
    </row>
    <row r="602" spans="1:27" x14ac:dyDescent="0.25">
      <c r="A602" t="s">
        <v>2061</v>
      </c>
      <c r="B602" s="96">
        <v>55</v>
      </c>
      <c r="C602" s="119">
        <v>2760.7739999999999</v>
      </c>
      <c r="D602" s="119">
        <f t="shared" si="109"/>
        <v>2760.7739999999999</v>
      </c>
      <c r="E602" s="118">
        <f t="shared" si="95"/>
        <v>1</v>
      </c>
      <c r="F602" s="117"/>
      <c r="G602" s="117"/>
      <c r="H602" s="116"/>
      <c r="I602" s="115">
        <f t="shared" si="117"/>
        <v>0</v>
      </c>
      <c r="J602" s="113">
        <f t="shared" si="118"/>
        <v>0</v>
      </c>
      <c r="K602" s="113">
        <f t="shared" si="119"/>
        <v>0</v>
      </c>
      <c r="L602" s="111">
        <f>(Z602+AA602)/2+((Z602-AA602)/2)*COS(2*CG140)</f>
        <v>0</v>
      </c>
      <c r="M602" s="113">
        <f>(Z602+AA602)/2-((Z602*AA602)/2)*COS(2*CG140)</f>
        <v>0</v>
      </c>
      <c r="N602" s="113">
        <v>0</v>
      </c>
      <c r="O602" s="113">
        <f t="shared" si="120"/>
        <v>4.2095632813437938</v>
      </c>
      <c r="P602" s="113">
        <f t="shared" si="121"/>
        <v>0.39609572179891905</v>
      </c>
      <c r="Q602" s="114">
        <f t="shared" si="122"/>
        <v>-4.2095632813437938</v>
      </c>
      <c r="R602" s="114">
        <f t="shared" si="123"/>
        <v>-0.39609572179891905</v>
      </c>
      <c r="S602" s="113">
        <f t="shared" si="124"/>
        <v>0</v>
      </c>
      <c r="T602" s="113">
        <f t="shared" si="125"/>
        <v>0</v>
      </c>
      <c r="U602" s="113">
        <f t="shared" si="129"/>
        <v>0</v>
      </c>
      <c r="V602" s="112">
        <f t="shared" si="126"/>
        <v>0</v>
      </c>
      <c r="W602" s="112">
        <f t="shared" si="127"/>
        <v>0</v>
      </c>
      <c r="X602" s="112">
        <f t="shared" si="128"/>
        <v>0</v>
      </c>
      <c r="Z602" s="111"/>
      <c r="AA602" s="111"/>
    </row>
    <row r="603" spans="1:27" x14ac:dyDescent="0.25">
      <c r="A603" s="530" t="s">
        <v>2062</v>
      </c>
      <c r="B603" s="96">
        <v>56</v>
      </c>
      <c r="C603" s="110">
        <v>0</v>
      </c>
      <c r="D603" s="110">
        <f t="shared" si="109"/>
        <v>2760.7739999999999</v>
      </c>
      <c r="E603" s="109">
        <f t="shared" si="95"/>
        <v>0</v>
      </c>
      <c r="F603" s="108">
        <f t="shared" ref="F603:F634" si="130">(Q117+Q116)/2</f>
        <v>5.5061632764654405E-3</v>
      </c>
      <c r="G603" s="108">
        <f t="shared" ref="G603:G634" si="131">N117/2</f>
        <v>-1.44455813017858E-2</v>
      </c>
      <c r="H603" s="107">
        <f t="shared" ref="H603:H634" si="132">(((N117-N116)^2+(M117-M116)^2)^(1/2))*$N$646</f>
        <v>9.2756323311403451E-5</v>
      </c>
      <c r="I603" s="106">
        <f t="shared" si="117"/>
        <v>0</v>
      </c>
      <c r="J603" s="104">
        <f t="shared" si="118"/>
        <v>0</v>
      </c>
      <c r="K603" s="104">
        <f t="shared" si="119"/>
        <v>0</v>
      </c>
      <c r="L603" s="102">
        <f t="shared" ref="L603:L634" si="133">(Z603+AA603)/2+((Z603-AA603)/2)*COS(2*AK117)</f>
        <v>6.4607947389952775E-9</v>
      </c>
      <c r="M603" s="104">
        <f t="shared" ref="M603:M634" si="134">(Z603+AA603)/2-((Z603*AA603)/2)*COS(2*AK117)</f>
        <v>3.7294635892370216E-9</v>
      </c>
      <c r="N603" s="104">
        <f t="shared" ref="N603:N634" si="135">((AA603-Z603)/2)*SIN(2*AK117)</f>
        <v>-2.4361181040515541E-9</v>
      </c>
      <c r="O603" s="104">
        <f t="shared" si="120"/>
        <v>4.2095632813437938</v>
      </c>
      <c r="P603" s="104">
        <f t="shared" si="121"/>
        <v>0.39609572179891905</v>
      </c>
      <c r="Q603" s="105">
        <f t="shared" si="122"/>
        <v>-4.2040571180673281</v>
      </c>
      <c r="R603" s="105">
        <f t="shared" si="123"/>
        <v>-0.41054130310070486</v>
      </c>
      <c r="S603" s="104">
        <f t="shared" si="124"/>
        <v>1.6393841861848315E-3</v>
      </c>
      <c r="T603" s="104">
        <f t="shared" si="125"/>
        <v>1.5633536741131928E-5</v>
      </c>
      <c r="U603" s="104">
        <f t="shared" si="129"/>
        <v>1.6009176402161115E-4</v>
      </c>
      <c r="V603" s="103">
        <f t="shared" si="126"/>
        <v>0</v>
      </c>
      <c r="W603" s="103">
        <f t="shared" si="127"/>
        <v>0</v>
      </c>
      <c r="X603" s="103">
        <f t="shared" si="128"/>
        <v>0</v>
      </c>
      <c r="Z603" s="102">
        <f t="shared" ref="Z603:Z634" si="136">((((N117-N116)^2+(M117-M116)^2)^(1/2))*$N$646^3)/12</f>
        <v>6.956724248355258E-11</v>
      </c>
      <c r="AA603" s="102">
        <f t="shared" ref="AA603:AA634" si="137">(((((N117-N116)^2+(M117-M116)^2)^(1/2))^3)*$N$646)/12</f>
        <v>7.3893599356068553E-9</v>
      </c>
    </row>
    <row r="604" spans="1:27" x14ac:dyDescent="0.25">
      <c r="A604" s="530"/>
      <c r="B604" s="96">
        <v>57</v>
      </c>
      <c r="C604" s="110">
        <v>0</v>
      </c>
      <c r="D604" s="110">
        <f t="shared" si="109"/>
        <v>2760.7739999999999</v>
      </c>
      <c r="E604" s="109">
        <f t="shared" si="95"/>
        <v>0</v>
      </c>
      <c r="F604" s="108">
        <f t="shared" si="130"/>
        <v>3.5549500765529297E-2</v>
      </c>
      <c r="G604" s="108">
        <f t="shared" si="131"/>
        <v>-6.3944994559909638E-2</v>
      </c>
      <c r="H604" s="107">
        <f t="shared" si="132"/>
        <v>3.3148383659624414E-4</v>
      </c>
      <c r="I604" s="106">
        <f t="shared" si="117"/>
        <v>0</v>
      </c>
      <c r="J604" s="104">
        <f t="shared" si="118"/>
        <v>0</v>
      </c>
      <c r="K604" s="104">
        <f t="shared" si="119"/>
        <v>0</v>
      </c>
      <c r="L604" s="102">
        <f t="shared" si="133"/>
        <v>2.7078204523260091E-7</v>
      </c>
      <c r="M604" s="104">
        <f t="shared" si="134"/>
        <v>1.6875371589186394E-7</v>
      </c>
      <c r="N604" s="104">
        <f t="shared" si="135"/>
        <v>-1.3410514434615374E-7</v>
      </c>
      <c r="O604" s="104">
        <f t="shared" si="120"/>
        <v>4.2095632813437938</v>
      </c>
      <c r="P604" s="104">
        <f t="shared" si="121"/>
        <v>0.39609572179891905</v>
      </c>
      <c r="Q604" s="105">
        <f t="shared" si="122"/>
        <v>-4.1740137805782647</v>
      </c>
      <c r="R604" s="105">
        <f t="shared" si="123"/>
        <v>-0.46004071635882871</v>
      </c>
      <c r="S604" s="104">
        <f t="shared" si="124"/>
        <v>5.7752410247708013E-3</v>
      </c>
      <c r="T604" s="104">
        <f t="shared" si="125"/>
        <v>7.0154397442956238E-5</v>
      </c>
      <c r="U604" s="104">
        <f t="shared" si="129"/>
        <v>6.3652066280729387E-4</v>
      </c>
      <c r="V604" s="103">
        <f t="shared" si="126"/>
        <v>0</v>
      </c>
      <c r="W604" s="103">
        <f t="shared" si="127"/>
        <v>0</v>
      </c>
      <c r="X604" s="103">
        <f t="shared" si="128"/>
        <v>0</v>
      </c>
      <c r="Z604" s="102">
        <f t="shared" si="136"/>
        <v>2.486128774471831E-10</v>
      </c>
      <c r="AA604" s="102">
        <f t="shared" si="137"/>
        <v>3.3725881885551216E-7</v>
      </c>
    </row>
    <row r="605" spans="1:27" x14ac:dyDescent="0.25">
      <c r="A605" s="530"/>
      <c r="B605" s="96">
        <v>58</v>
      </c>
      <c r="C605" s="110">
        <v>0</v>
      </c>
      <c r="D605" s="110">
        <f t="shared" si="109"/>
        <v>2760.7739999999999</v>
      </c>
      <c r="E605" s="109">
        <f t="shared" si="95"/>
        <v>0</v>
      </c>
      <c r="F605" s="108">
        <f t="shared" si="130"/>
        <v>0.10541897069116357</v>
      </c>
      <c r="G605" s="108">
        <f t="shared" si="131"/>
        <v>-9.0863541578872442E-2</v>
      </c>
      <c r="H605" s="107">
        <f t="shared" si="132"/>
        <v>3.1633290612287655E-4</v>
      </c>
      <c r="I605" s="106">
        <f t="shared" si="117"/>
        <v>0</v>
      </c>
      <c r="J605" s="104">
        <f t="shared" si="118"/>
        <v>0</v>
      </c>
      <c r="K605" s="104">
        <f t="shared" si="119"/>
        <v>0</v>
      </c>
      <c r="L605" s="102">
        <f t="shared" si="133"/>
        <v>7.6581205232036594E-8</v>
      </c>
      <c r="M605" s="104">
        <f t="shared" si="134"/>
        <v>1.4666644483159029E-7</v>
      </c>
      <c r="N605" s="104">
        <f t="shared" si="135"/>
        <v>-1.2856736905481116E-7</v>
      </c>
      <c r="O605" s="104">
        <f t="shared" si="120"/>
        <v>4.2095632813437938</v>
      </c>
      <c r="P605" s="104">
        <f t="shared" si="121"/>
        <v>0.39609572179891905</v>
      </c>
      <c r="Q605" s="105">
        <f t="shared" si="122"/>
        <v>-4.1041443106526305</v>
      </c>
      <c r="R605" s="105">
        <f t="shared" si="123"/>
        <v>-0.4869592633777915</v>
      </c>
      <c r="S605" s="104">
        <f t="shared" si="124"/>
        <v>5.3283116360690348E-3</v>
      </c>
      <c r="T605" s="104">
        <f t="shared" si="125"/>
        <v>7.5011808247799693E-5</v>
      </c>
      <c r="U605" s="104">
        <f t="shared" si="129"/>
        <v>6.3220747443329894E-4</v>
      </c>
      <c r="V605" s="103">
        <f t="shared" si="126"/>
        <v>0</v>
      </c>
      <c r="W605" s="103">
        <f t="shared" si="127"/>
        <v>0</v>
      </c>
      <c r="X605" s="103">
        <f t="shared" si="128"/>
        <v>0</v>
      </c>
      <c r="Z605" s="102">
        <f t="shared" si="136"/>
        <v>2.3724967959215741E-10</v>
      </c>
      <c r="AA605" s="102">
        <f t="shared" si="137"/>
        <v>2.9309564001687079E-7</v>
      </c>
    </row>
    <row r="606" spans="1:27" x14ac:dyDescent="0.25">
      <c r="A606" s="530"/>
      <c r="B606" s="96">
        <v>59</v>
      </c>
      <c r="C606" s="110">
        <v>0</v>
      </c>
      <c r="D606" s="110">
        <f t="shared" si="109"/>
        <v>2760.7739999999999</v>
      </c>
      <c r="E606" s="109">
        <f t="shared" si="95"/>
        <v>0</v>
      </c>
      <c r="F606" s="108">
        <f t="shared" si="130"/>
        <v>0.21703905730533674</v>
      </c>
      <c r="G606" s="108">
        <f t="shared" si="131"/>
        <v>-0.11425996329640775</v>
      </c>
      <c r="H606" s="107">
        <f t="shared" si="132"/>
        <v>4.2177327532995248E-4</v>
      </c>
      <c r="I606" s="106">
        <f t="shared" si="117"/>
        <v>0</v>
      </c>
      <c r="J606" s="104">
        <f t="shared" si="118"/>
        <v>0</v>
      </c>
      <c r="K606" s="104">
        <f t="shared" si="119"/>
        <v>0</v>
      </c>
      <c r="L606" s="102">
        <f t="shared" si="133"/>
        <v>7.7239804504234583E-8</v>
      </c>
      <c r="M606" s="104">
        <f t="shared" si="134"/>
        <v>3.4752105821439431E-7</v>
      </c>
      <c r="N606" s="104">
        <f t="shared" si="135"/>
        <v>-2.1794303666477597E-7</v>
      </c>
      <c r="O606" s="104">
        <f t="shared" si="120"/>
        <v>4.2095632813437938</v>
      </c>
      <c r="P606" s="104">
        <f t="shared" si="121"/>
        <v>0.39609572179891905</v>
      </c>
      <c r="Q606" s="105">
        <f t="shared" si="122"/>
        <v>-3.9925242240384571</v>
      </c>
      <c r="R606" s="105">
        <f t="shared" si="123"/>
        <v>-0.51035568509532681</v>
      </c>
      <c r="S606" s="104">
        <f t="shared" si="124"/>
        <v>6.723171316914231E-3</v>
      </c>
      <c r="T606" s="104">
        <f t="shared" si="125"/>
        <v>1.0985630110964847E-4</v>
      </c>
      <c r="U606" s="104">
        <f t="shared" si="129"/>
        <v>8.594083619576213E-4</v>
      </c>
      <c r="V606" s="103">
        <f t="shared" si="126"/>
        <v>0</v>
      </c>
      <c r="W606" s="103">
        <f t="shared" si="127"/>
        <v>0</v>
      </c>
      <c r="X606" s="103">
        <f t="shared" si="128"/>
        <v>0</v>
      </c>
      <c r="Z606" s="102">
        <f t="shared" si="136"/>
        <v>3.1632995649746433E-10</v>
      </c>
      <c r="AA606" s="102">
        <f t="shared" si="137"/>
        <v>6.9472578664336519E-7</v>
      </c>
    </row>
    <row r="607" spans="1:27" x14ac:dyDescent="0.25">
      <c r="A607" s="530"/>
      <c r="B607" s="96">
        <v>60</v>
      </c>
      <c r="C607" s="110">
        <v>0</v>
      </c>
      <c r="D607" s="110">
        <f t="shared" si="109"/>
        <v>2760.7739999999999</v>
      </c>
      <c r="E607" s="109">
        <f t="shared" si="95"/>
        <v>0</v>
      </c>
      <c r="F607" s="108">
        <f t="shared" si="130"/>
        <v>0.37003555533683274</v>
      </c>
      <c r="G607" s="108">
        <f t="shared" si="131"/>
        <v>-0.13471713254685319</v>
      </c>
      <c r="H607" s="107">
        <f t="shared" si="132"/>
        <v>5.34535540422289E-4</v>
      </c>
      <c r="I607" s="106">
        <f t="shared" si="117"/>
        <v>0</v>
      </c>
      <c r="J607" s="104">
        <f t="shared" si="118"/>
        <v>0</v>
      </c>
      <c r="K607" s="104">
        <f t="shared" si="119"/>
        <v>0</v>
      </c>
      <c r="L607" s="102">
        <f t="shared" si="133"/>
        <v>7.4946717816751065E-8</v>
      </c>
      <c r="M607" s="104">
        <f t="shared" si="134"/>
        <v>7.072925862539249E-7</v>
      </c>
      <c r="N607" s="104">
        <f t="shared" si="135"/>
        <v>-3.1596606853094404E-7</v>
      </c>
      <c r="O607" s="104">
        <f t="shared" si="120"/>
        <v>4.2095632813437938</v>
      </c>
      <c r="P607" s="104">
        <f t="shared" si="121"/>
        <v>0.39609572179891905</v>
      </c>
      <c r="Q607" s="105">
        <f t="shared" si="122"/>
        <v>-3.8395277260069611</v>
      </c>
      <c r="R607" s="105">
        <f t="shared" si="123"/>
        <v>-0.53081285434577219</v>
      </c>
      <c r="S607" s="104">
        <f t="shared" si="124"/>
        <v>7.880108589317307E-3</v>
      </c>
      <c r="T607" s="104">
        <f t="shared" si="125"/>
        <v>1.5061195599867994E-4</v>
      </c>
      <c r="U607" s="104">
        <f t="shared" si="129"/>
        <v>1.0894212078526276E-3</v>
      </c>
      <c r="V607" s="103">
        <f t="shared" si="126"/>
        <v>0</v>
      </c>
      <c r="W607" s="103">
        <f t="shared" si="127"/>
        <v>0</v>
      </c>
      <c r="X607" s="103">
        <f t="shared" si="128"/>
        <v>0</v>
      </c>
      <c r="Z607" s="102">
        <f t="shared" si="136"/>
        <v>4.0090165531671671E-10</v>
      </c>
      <c r="AA607" s="102">
        <f t="shared" si="137"/>
        <v>1.4141842713596938E-6</v>
      </c>
    </row>
    <row r="608" spans="1:27" x14ac:dyDescent="0.25">
      <c r="A608" s="530"/>
      <c r="B608" s="96">
        <v>61</v>
      </c>
      <c r="C608" s="110">
        <v>0</v>
      </c>
      <c r="D608" s="110">
        <f t="shared" si="109"/>
        <v>2760.7739999999999</v>
      </c>
      <c r="E608" s="109">
        <f t="shared" si="95"/>
        <v>0</v>
      </c>
      <c r="F608" s="108">
        <f t="shared" si="130"/>
        <v>0.56349968055555533</v>
      </c>
      <c r="G608" s="108">
        <f t="shared" si="131"/>
        <v>-0.15183138249815695</v>
      </c>
      <c r="H608" s="107">
        <f t="shared" si="132"/>
        <v>6.4871118869202083E-4</v>
      </c>
      <c r="I608" s="106">
        <f t="shared" si="117"/>
        <v>0</v>
      </c>
      <c r="J608" s="104">
        <f t="shared" si="118"/>
        <v>0</v>
      </c>
      <c r="K608" s="104">
        <f t="shared" si="119"/>
        <v>0</v>
      </c>
      <c r="L608" s="102">
        <f t="shared" si="133"/>
        <v>6.3809648949947008E-8</v>
      </c>
      <c r="M608" s="104">
        <f t="shared" si="134"/>
        <v>1.26410747233306E-6</v>
      </c>
      <c r="N608" s="104">
        <f t="shared" si="135"/>
        <v>-3.9499748427963057E-7</v>
      </c>
      <c r="O608" s="104">
        <f t="shared" si="120"/>
        <v>4.2095632813437938</v>
      </c>
      <c r="P608" s="104">
        <f t="shared" si="121"/>
        <v>0.39609572179891905</v>
      </c>
      <c r="Q608" s="105">
        <f t="shared" si="122"/>
        <v>-3.6460636007882385</v>
      </c>
      <c r="R608" s="105">
        <f t="shared" si="123"/>
        <v>-0.54792710429707603</v>
      </c>
      <c r="S608" s="104">
        <f t="shared" si="124"/>
        <v>8.6238236839378535E-3</v>
      </c>
      <c r="T608" s="104">
        <f t="shared" si="125"/>
        <v>1.9475874032520802E-4</v>
      </c>
      <c r="U608" s="104">
        <f t="shared" si="129"/>
        <v>1.2959803383811158E-3</v>
      </c>
      <c r="V608" s="103">
        <f t="shared" si="126"/>
        <v>0</v>
      </c>
      <c r="W608" s="103">
        <f t="shared" si="127"/>
        <v>0</v>
      </c>
      <c r="X608" s="103">
        <f t="shared" si="128"/>
        <v>0</v>
      </c>
      <c r="Z608" s="102">
        <f t="shared" si="136"/>
        <v>4.8653339151901553E-10</v>
      </c>
      <c r="AA608" s="102">
        <f t="shared" si="137"/>
        <v>2.5277284124427959E-6</v>
      </c>
    </row>
    <row r="609" spans="1:27" x14ac:dyDescent="0.25">
      <c r="A609" s="530"/>
      <c r="B609" s="96">
        <v>62</v>
      </c>
      <c r="C609" s="110">
        <v>0</v>
      </c>
      <c r="D609" s="110">
        <f t="shared" si="109"/>
        <v>2760.7739999999999</v>
      </c>
      <c r="E609" s="109">
        <f t="shared" si="95"/>
        <v>0</v>
      </c>
      <c r="F609" s="108">
        <f t="shared" si="130"/>
        <v>0.79684339610673627</v>
      </c>
      <c r="G609" s="108">
        <f t="shared" si="131"/>
        <v>-0.1653610216166764</v>
      </c>
      <c r="H609" s="107">
        <f t="shared" si="132"/>
        <v>7.6385557195822928E-4</v>
      </c>
      <c r="I609" s="106">
        <f t="shared" si="117"/>
        <v>0</v>
      </c>
      <c r="J609" s="104">
        <f t="shared" si="118"/>
        <v>0</v>
      </c>
      <c r="K609" s="104">
        <f t="shared" si="119"/>
        <v>0</v>
      </c>
      <c r="L609" s="102">
        <f t="shared" si="133"/>
        <v>4.7174631096735539E-8</v>
      </c>
      <c r="M609" s="104">
        <f t="shared" si="134"/>
        <v>2.063670174295478E-6</v>
      </c>
      <c r="N609" s="104">
        <f t="shared" si="135"/>
        <v>-4.3602307497071812E-7</v>
      </c>
      <c r="O609" s="104">
        <f t="shared" si="120"/>
        <v>4.2095632813437938</v>
      </c>
      <c r="P609" s="104">
        <f t="shared" si="121"/>
        <v>0.39609572179891905</v>
      </c>
      <c r="Q609" s="105">
        <f t="shared" si="122"/>
        <v>-3.4127198852370575</v>
      </c>
      <c r="R609" s="105">
        <f t="shared" si="123"/>
        <v>-0.56145674341559548</v>
      </c>
      <c r="S609" s="104">
        <f t="shared" si="124"/>
        <v>8.8963638556647552E-3</v>
      </c>
      <c r="T609" s="104">
        <f t="shared" si="125"/>
        <v>2.4079299890896922E-4</v>
      </c>
      <c r="U609" s="104">
        <f t="shared" si="129"/>
        <v>1.4636195312275923E-3</v>
      </c>
      <c r="V609" s="103">
        <f t="shared" si="126"/>
        <v>0</v>
      </c>
      <c r="W609" s="103">
        <f t="shared" si="127"/>
        <v>0</v>
      </c>
      <c r="X609" s="103">
        <f t="shared" si="128"/>
        <v>0</v>
      </c>
      <c r="Z609" s="102">
        <f t="shared" si="136"/>
        <v>5.7289167896867195E-10</v>
      </c>
      <c r="AA609" s="102">
        <f t="shared" si="137"/>
        <v>4.1267674592227754E-6</v>
      </c>
    </row>
    <row r="610" spans="1:27" x14ac:dyDescent="0.25">
      <c r="A610" s="530"/>
      <c r="B610" s="96">
        <v>63</v>
      </c>
      <c r="C610" s="110">
        <v>0</v>
      </c>
      <c r="D610" s="110">
        <f t="shared" si="109"/>
        <v>2760.7739999999999</v>
      </c>
      <c r="E610" s="109">
        <f t="shared" si="95"/>
        <v>0</v>
      </c>
      <c r="F610" s="108">
        <f t="shared" si="130"/>
        <v>1.0691579177602795</v>
      </c>
      <c r="G610" s="108">
        <f t="shared" si="131"/>
        <v>-0.17549428814071508</v>
      </c>
      <c r="H610" s="107">
        <f t="shared" si="132"/>
        <v>8.7646868641383141E-4</v>
      </c>
      <c r="I610" s="106">
        <f t="shared" si="117"/>
        <v>0</v>
      </c>
      <c r="J610" s="104">
        <f t="shared" si="118"/>
        <v>0</v>
      </c>
      <c r="K610" s="104">
        <f t="shared" si="119"/>
        <v>0</v>
      </c>
      <c r="L610" s="102">
        <f t="shared" si="133"/>
        <v>3.0653692784500024E-8</v>
      </c>
      <c r="M610" s="104">
        <f t="shared" si="134"/>
        <v>3.1174626066179439E-6</v>
      </c>
      <c r="N610" s="104">
        <f t="shared" si="135"/>
        <v>-4.313765499405913E-7</v>
      </c>
      <c r="O610" s="104">
        <f t="shared" si="120"/>
        <v>4.2095632813437938</v>
      </c>
      <c r="P610" s="104">
        <f t="shared" si="121"/>
        <v>0.39609572179891905</v>
      </c>
      <c r="Q610" s="105">
        <f t="shared" si="122"/>
        <v>-3.1404053635835143</v>
      </c>
      <c r="R610" s="105">
        <f t="shared" si="123"/>
        <v>-0.57159000993963416</v>
      </c>
      <c r="S610" s="104">
        <f t="shared" si="124"/>
        <v>8.6438620162887208E-3</v>
      </c>
      <c r="T610" s="104">
        <f t="shared" si="125"/>
        <v>2.8635558911646423E-4</v>
      </c>
      <c r="U610" s="104">
        <f t="shared" si="129"/>
        <v>1.5732826192123859E-3</v>
      </c>
      <c r="V610" s="103">
        <f t="shared" si="126"/>
        <v>0</v>
      </c>
      <c r="W610" s="103">
        <f t="shared" si="127"/>
        <v>0</v>
      </c>
      <c r="X610" s="103">
        <f t="shared" si="128"/>
        <v>0</v>
      </c>
      <c r="Z610" s="102">
        <f t="shared" si="136"/>
        <v>6.5735151481037354E-10</v>
      </c>
      <c r="AA610" s="102">
        <f t="shared" si="137"/>
        <v>6.2342678657797425E-6</v>
      </c>
    </row>
    <row r="611" spans="1:27" x14ac:dyDescent="0.25">
      <c r="A611" s="530"/>
      <c r="B611" s="96">
        <v>64</v>
      </c>
      <c r="C611" s="110">
        <v>0</v>
      </c>
      <c r="D611" s="110">
        <f t="shared" si="109"/>
        <v>2760.7739999999999</v>
      </c>
      <c r="E611" s="109">
        <f t="shared" si="95"/>
        <v>0</v>
      </c>
      <c r="F611" s="108">
        <f t="shared" si="130"/>
        <v>1.3789464244313205</v>
      </c>
      <c r="G611" s="108">
        <f t="shared" si="131"/>
        <v>-0.18189660644159816</v>
      </c>
      <c r="H611" s="107">
        <f t="shared" si="132"/>
        <v>9.8512293630894222E-4</v>
      </c>
      <c r="I611" s="106">
        <f t="shared" si="117"/>
        <v>0</v>
      </c>
      <c r="J611" s="104">
        <f t="shared" si="118"/>
        <v>0</v>
      </c>
      <c r="K611" s="104">
        <f t="shared" si="119"/>
        <v>0</v>
      </c>
      <c r="L611" s="102">
        <f t="shared" si="133"/>
        <v>1.41976766179235E-8</v>
      </c>
      <c r="M611" s="104">
        <f t="shared" si="134"/>
        <v>4.426431905353846E-6</v>
      </c>
      <c r="N611" s="104">
        <f t="shared" si="135"/>
        <v>-3.4488867781819839E-7</v>
      </c>
      <c r="O611" s="104">
        <f t="shared" si="120"/>
        <v>4.2095632813437938</v>
      </c>
      <c r="P611" s="104">
        <f t="shared" si="121"/>
        <v>0.39609572179891905</v>
      </c>
      <c r="Q611" s="105">
        <f t="shared" si="122"/>
        <v>-2.8306168569124734</v>
      </c>
      <c r="R611" s="105">
        <f t="shared" si="123"/>
        <v>-0.57799232824051727</v>
      </c>
      <c r="S611" s="104">
        <f t="shared" si="124"/>
        <v>7.8931909276500345E-3</v>
      </c>
      <c r="T611" s="104">
        <f t="shared" si="125"/>
        <v>3.2910507449589708E-4</v>
      </c>
      <c r="U611" s="104">
        <f t="shared" si="129"/>
        <v>1.6117348380718843E-3</v>
      </c>
      <c r="V611" s="103">
        <f t="shared" si="126"/>
        <v>0</v>
      </c>
      <c r="W611" s="103">
        <f t="shared" si="127"/>
        <v>0</v>
      </c>
      <c r="X611" s="103">
        <f t="shared" si="128"/>
        <v>0</v>
      </c>
      <c r="Z611" s="102">
        <f t="shared" si="136"/>
        <v>7.388422022317066E-10</v>
      </c>
      <c r="AA611" s="102">
        <f t="shared" si="137"/>
        <v>8.8521249750258938E-6</v>
      </c>
    </row>
    <row r="612" spans="1:27" x14ac:dyDescent="0.25">
      <c r="A612" s="530"/>
      <c r="B612" s="96">
        <v>65</v>
      </c>
      <c r="C612" s="110">
        <v>0</v>
      </c>
      <c r="D612" s="110">
        <f t="shared" si="109"/>
        <v>2760.7739999999999</v>
      </c>
      <c r="E612" s="109">
        <f t="shared" ref="E612:E642" si="138">C612/D612</f>
        <v>0</v>
      </c>
      <c r="F612" s="108">
        <f t="shared" si="130"/>
        <v>1.7243913476596668</v>
      </c>
      <c r="G612" s="108">
        <f t="shared" si="131"/>
        <v>-0.18448491943247583</v>
      </c>
      <c r="H612" s="107">
        <f t="shared" si="132"/>
        <v>1.0884066437868039E-3</v>
      </c>
      <c r="I612" s="106">
        <f t="shared" ref="I612:I642" si="139">H612*E612</f>
        <v>0</v>
      </c>
      <c r="J612" s="104">
        <f t="shared" ref="J612:J642" si="140">I612*F612</f>
        <v>0</v>
      </c>
      <c r="K612" s="104">
        <f t="shared" ref="K612:K642" si="141">I612*G612</f>
        <v>0</v>
      </c>
      <c r="L612" s="102">
        <f t="shared" si="133"/>
        <v>3.2466829382702149E-9</v>
      </c>
      <c r="M612" s="104">
        <f t="shared" si="134"/>
        <v>5.9696586023793329E-6</v>
      </c>
      <c r="N612" s="104">
        <f t="shared" si="135"/>
        <v>-1.7031493993405983E-7</v>
      </c>
      <c r="O612" s="104">
        <f t="shared" ref="O612:O642" si="142">$H$648</f>
        <v>4.2095632813437938</v>
      </c>
      <c r="P612" s="104">
        <f t="shared" ref="P612:P642" si="143">H$650</f>
        <v>0.39609572179891905</v>
      </c>
      <c r="Q612" s="105">
        <f t="shared" ref="Q612:Q642" si="144">F612-O612</f>
        <v>-2.4851719336841267</v>
      </c>
      <c r="R612" s="105">
        <f t="shared" ref="R612:R642" si="145">G612-P612</f>
        <v>-0.58058064123139486</v>
      </c>
      <c r="S612" s="104">
        <f t="shared" ref="S612:S642" si="146">H612*Q612^2</f>
        <v>6.7220860038605112E-3</v>
      </c>
      <c r="T612" s="104">
        <f t="shared" ref="T612:T642" si="147">H612*R612^2</f>
        <v>3.6687345149764291E-4</v>
      </c>
      <c r="U612" s="104">
        <f t="shared" ref="U612:U642" si="148">H612*Q612*R612</f>
        <v>1.5703995967588326E-3</v>
      </c>
      <c r="V612" s="103">
        <f t="shared" ref="V612:V642" si="149">E612*(L612+T612)</f>
        <v>0</v>
      </c>
      <c r="W612" s="103">
        <f t="shared" ref="W612:W642" si="150">E612*(M612+S612)</f>
        <v>0</v>
      </c>
      <c r="X612" s="103">
        <f t="shared" ref="X612:X642" si="151">E612*(N612+U612)</f>
        <v>0</v>
      </c>
      <c r="Z612" s="102">
        <f t="shared" si="136"/>
        <v>8.1630498284010284E-10</v>
      </c>
      <c r="AA612" s="102">
        <f t="shared" si="137"/>
        <v>1.1938500909517317E-5</v>
      </c>
    </row>
    <row r="613" spans="1:27" x14ac:dyDescent="0.25">
      <c r="A613" s="530"/>
      <c r="B613" s="96">
        <v>66</v>
      </c>
      <c r="C613" s="110">
        <v>0</v>
      </c>
      <c r="D613" s="110">
        <f t="shared" ref="D613:D642" si="152">$C$569</f>
        <v>2760.7739999999999</v>
      </c>
      <c r="E613" s="109">
        <f t="shared" si="138"/>
        <v>0</v>
      </c>
      <c r="F613" s="108">
        <f t="shared" si="130"/>
        <v>2.103354371609798</v>
      </c>
      <c r="G613" s="108">
        <f t="shared" si="131"/>
        <v>-0.18351252274510571</v>
      </c>
      <c r="H613" s="107">
        <f t="shared" si="132"/>
        <v>1.1854966561478872E-3</v>
      </c>
      <c r="I613" s="106">
        <f t="shared" si="139"/>
        <v>0</v>
      </c>
      <c r="J613" s="104">
        <f t="shared" si="140"/>
        <v>0</v>
      </c>
      <c r="K613" s="104">
        <f t="shared" si="141"/>
        <v>0</v>
      </c>
      <c r="L613" s="102">
        <f t="shared" si="133"/>
        <v>1.2627518459127192E-9</v>
      </c>
      <c r="M613" s="104">
        <f t="shared" si="134"/>
        <v>7.7138693366227663E-6</v>
      </c>
      <c r="N613" s="104">
        <f t="shared" si="135"/>
        <v>7.5917402700814275E-8</v>
      </c>
      <c r="O613" s="104">
        <f t="shared" si="142"/>
        <v>4.2095632813437938</v>
      </c>
      <c r="P613" s="104">
        <f t="shared" si="143"/>
        <v>0.39609572179891905</v>
      </c>
      <c r="Q613" s="105">
        <f t="shared" si="144"/>
        <v>-2.1062089097339958</v>
      </c>
      <c r="R613" s="105">
        <f t="shared" si="145"/>
        <v>-0.57960824454402471</v>
      </c>
      <c r="S613" s="104">
        <f t="shared" si="146"/>
        <v>5.2590006504297558E-3</v>
      </c>
      <c r="T613" s="104">
        <f t="shared" si="147"/>
        <v>3.9826252432071166E-4</v>
      </c>
      <c r="U613" s="104">
        <f t="shared" si="148"/>
        <v>1.447225923774315E-3</v>
      </c>
      <c r="V613" s="103">
        <f t="shared" si="149"/>
        <v>0</v>
      </c>
      <c r="W613" s="103">
        <f t="shared" si="150"/>
        <v>0</v>
      </c>
      <c r="X613" s="103">
        <f t="shared" si="151"/>
        <v>0</v>
      </c>
      <c r="Z613" s="102">
        <f t="shared" si="136"/>
        <v>8.8912249211091535E-10</v>
      </c>
      <c r="AA613" s="102">
        <f t="shared" si="137"/>
        <v>1.5426849564469116E-5</v>
      </c>
    </row>
    <row r="614" spans="1:27" x14ac:dyDescent="0.25">
      <c r="A614" s="530"/>
      <c r="B614" s="96">
        <v>67</v>
      </c>
      <c r="C614" s="110">
        <v>0</v>
      </c>
      <c r="D614" s="110">
        <f t="shared" si="152"/>
        <v>2760.7739999999999</v>
      </c>
      <c r="E614" s="109">
        <f t="shared" si="138"/>
        <v>0</v>
      </c>
      <c r="F614" s="108">
        <f t="shared" si="130"/>
        <v>2.5134298909667532</v>
      </c>
      <c r="G614" s="108">
        <f t="shared" si="131"/>
        <v>-0.17502311249513594</v>
      </c>
      <c r="H614" s="107">
        <f t="shared" si="132"/>
        <v>1.2759878945864129E-3</v>
      </c>
      <c r="I614" s="106">
        <f t="shared" si="139"/>
        <v>0</v>
      </c>
      <c r="J614" s="104">
        <f t="shared" si="140"/>
        <v>0</v>
      </c>
      <c r="K614" s="104">
        <f t="shared" si="141"/>
        <v>0</v>
      </c>
      <c r="L614" s="102">
        <f t="shared" si="133"/>
        <v>3.1608985178601688E-8</v>
      </c>
      <c r="M614" s="104">
        <f t="shared" si="134"/>
        <v>9.6185037054027545E-6</v>
      </c>
      <c r="N614" s="104">
        <f t="shared" si="135"/>
        <v>7.6723818279636741E-7</v>
      </c>
      <c r="O614" s="104">
        <f t="shared" si="142"/>
        <v>4.2095632813437938</v>
      </c>
      <c r="P614" s="104">
        <f t="shared" si="143"/>
        <v>0.39609572179891905</v>
      </c>
      <c r="Q614" s="105">
        <f t="shared" si="144"/>
        <v>-1.6961333903770406</v>
      </c>
      <c r="R614" s="105">
        <f t="shared" si="145"/>
        <v>-0.57111883429405497</v>
      </c>
      <c r="S614" s="104">
        <f t="shared" si="146"/>
        <v>3.6708493521838814E-3</v>
      </c>
      <c r="T614" s="104">
        <f t="shared" si="147"/>
        <v>4.1619754989763767E-4</v>
      </c>
      <c r="U614" s="104">
        <f t="shared" si="148"/>
        <v>1.2360414663037248E-3</v>
      </c>
      <c r="V614" s="103">
        <f t="shared" si="149"/>
        <v>0</v>
      </c>
      <c r="W614" s="103">
        <f t="shared" si="150"/>
        <v>0</v>
      </c>
      <c r="X614" s="103">
        <f t="shared" si="151"/>
        <v>0</v>
      </c>
      <c r="Z614" s="102">
        <f t="shared" si="136"/>
        <v>9.5699092093980972E-10</v>
      </c>
      <c r="AA614" s="102">
        <f t="shared" si="137"/>
        <v>1.9236050438234623E-5</v>
      </c>
    </row>
    <row r="615" spans="1:27" x14ac:dyDescent="0.25">
      <c r="A615" s="530"/>
      <c r="B615" s="96">
        <v>68</v>
      </c>
      <c r="C615" s="110">
        <v>0</v>
      </c>
      <c r="D615" s="110">
        <f t="shared" si="152"/>
        <v>2760.7739999999999</v>
      </c>
      <c r="E615" s="109">
        <f t="shared" si="138"/>
        <v>0</v>
      </c>
      <c r="F615" s="108">
        <f t="shared" si="130"/>
        <v>2.95173117935258</v>
      </c>
      <c r="G615" s="108">
        <f t="shared" si="131"/>
        <v>-0.16744084649536239</v>
      </c>
      <c r="H615" s="107">
        <f t="shared" si="132"/>
        <v>1.3556005049975889E-3</v>
      </c>
      <c r="I615" s="106">
        <f t="shared" si="139"/>
        <v>0</v>
      </c>
      <c r="J615" s="104">
        <f t="shared" si="140"/>
        <v>0</v>
      </c>
      <c r="K615" s="104">
        <f t="shared" si="141"/>
        <v>0</v>
      </c>
      <c r="L615" s="102">
        <f t="shared" si="133"/>
        <v>2.6993722033605828E-8</v>
      </c>
      <c r="M615" s="104">
        <f t="shared" si="134"/>
        <v>1.1533485040552957E-5</v>
      </c>
      <c r="N615" s="104">
        <f t="shared" si="135"/>
        <v>7.7361718864504585E-7</v>
      </c>
      <c r="O615" s="104">
        <f t="shared" si="142"/>
        <v>4.2095632813437938</v>
      </c>
      <c r="P615" s="104">
        <f t="shared" si="143"/>
        <v>0.39609572179891905</v>
      </c>
      <c r="Q615" s="105">
        <f t="shared" si="144"/>
        <v>-1.2578321019912138</v>
      </c>
      <c r="R615" s="105">
        <f t="shared" si="145"/>
        <v>-0.56353656829428145</v>
      </c>
      <c r="S615" s="104">
        <f t="shared" si="146"/>
        <v>2.1447519475992771E-3</v>
      </c>
      <c r="T615" s="104">
        <f t="shared" si="147"/>
        <v>4.305027479077496E-4</v>
      </c>
      <c r="U615" s="104">
        <f t="shared" si="148"/>
        <v>9.6089625195542661E-4</v>
      </c>
      <c r="V615" s="103">
        <f t="shared" si="149"/>
        <v>0</v>
      </c>
      <c r="W615" s="103">
        <f t="shared" si="150"/>
        <v>0</v>
      </c>
      <c r="X615" s="103">
        <f t="shared" si="151"/>
        <v>0</v>
      </c>
      <c r="Z615" s="102">
        <f t="shared" si="136"/>
        <v>1.0167003787481917E-9</v>
      </c>
      <c r="AA615" s="102">
        <f t="shared" si="137"/>
        <v>2.3065953404125505E-5</v>
      </c>
    </row>
    <row r="616" spans="1:27" x14ac:dyDescent="0.25">
      <c r="A616" s="530"/>
      <c r="B616" s="96">
        <v>69</v>
      </c>
      <c r="C616" s="110">
        <v>0</v>
      </c>
      <c r="D616" s="110">
        <f t="shared" si="152"/>
        <v>2760.7739999999999</v>
      </c>
      <c r="E616" s="109">
        <f t="shared" si="138"/>
        <v>0</v>
      </c>
      <c r="F616" s="108">
        <f t="shared" si="130"/>
        <v>3.414836931430445</v>
      </c>
      <c r="G616" s="108">
        <f t="shared" si="131"/>
        <v>-0.15680091996707576</v>
      </c>
      <c r="H616" s="107">
        <f t="shared" si="132"/>
        <v>1.425228084365742E-3</v>
      </c>
      <c r="I616" s="106">
        <f t="shared" si="139"/>
        <v>0</v>
      </c>
      <c r="J616" s="104">
        <f t="shared" si="140"/>
        <v>0</v>
      </c>
      <c r="K616" s="104">
        <f t="shared" si="141"/>
        <v>0</v>
      </c>
      <c r="L616" s="102">
        <f t="shared" si="133"/>
        <v>5.4849200757054809E-8</v>
      </c>
      <c r="M616" s="104">
        <f t="shared" si="134"/>
        <v>1.3403452542806502E-5</v>
      </c>
      <c r="N616" s="104">
        <f t="shared" si="135"/>
        <v>1.1994480241062188E-6</v>
      </c>
      <c r="O616" s="104">
        <f t="shared" si="142"/>
        <v>4.2095632813437938</v>
      </c>
      <c r="P616" s="104">
        <f t="shared" si="143"/>
        <v>0.39609572179891905</v>
      </c>
      <c r="Q616" s="105">
        <f t="shared" si="144"/>
        <v>-0.79472634991334878</v>
      </c>
      <c r="R616" s="105">
        <f t="shared" si="145"/>
        <v>-0.55289664176599485</v>
      </c>
      <c r="S616" s="104">
        <f t="shared" si="146"/>
        <v>9.0015976482439781E-4</v>
      </c>
      <c r="T616" s="104">
        <f t="shared" si="147"/>
        <v>4.3568466665942014E-4</v>
      </c>
      <c r="U616" s="104">
        <f t="shared" si="148"/>
        <v>6.2624740085507724E-4</v>
      </c>
      <c r="V616" s="103">
        <f t="shared" si="149"/>
        <v>0</v>
      </c>
      <c r="W616" s="103">
        <f t="shared" si="150"/>
        <v>0</v>
      </c>
      <c r="X616" s="103">
        <f t="shared" si="151"/>
        <v>0</v>
      </c>
      <c r="Z616" s="102">
        <f t="shared" si="136"/>
        <v>1.0689210632743064E-9</v>
      </c>
      <c r="AA616" s="102">
        <f t="shared" si="137"/>
        <v>2.6805836193088077E-5</v>
      </c>
    </row>
    <row r="617" spans="1:27" x14ac:dyDescent="0.25">
      <c r="A617" s="530"/>
      <c r="B617" s="96">
        <v>70</v>
      </c>
      <c r="C617" s="110">
        <v>0</v>
      </c>
      <c r="D617" s="110">
        <f t="shared" si="152"/>
        <v>2760.7739999999999</v>
      </c>
      <c r="E617" s="109">
        <f t="shared" si="138"/>
        <v>0</v>
      </c>
      <c r="F617" s="108">
        <f t="shared" si="130"/>
        <v>3.8991120102799637</v>
      </c>
      <c r="G617" s="108">
        <f t="shared" si="131"/>
        <v>-0.14311253460649889</v>
      </c>
      <c r="H617" s="107">
        <f t="shared" si="132"/>
        <v>1.4841271267667061E-3</v>
      </c>
      <c r="I617" s="106">
        <f t="shared" si="139"/>
        <v>0</v>
      </c>
      <c r="J617" s="104">
        <f t="shared" si="140"/>
        <v>0</v>
      </c>
      <c r="K617" s="104">
        <f t="shared" si="141"/>
        <v>0</v>
      </c>
      <c r="L617" s="102">
        <f t="shared" si="133"/>
        <v>9.380425669706665E-8</v>
      </c>
      <c r="M617" s="104">
        <f t="shared" si="134"/>
        <v>1.5134759646698428E-5</v>
      </c>
      <c r="N617" s="104">
        <f t="shared" si="135"/>
        <v>1.6723991450553846E-6</v>
      </c>
      <c r="O617" s="104">
        <f t="shared" si="142"/>
        <v>4.2095632813437938</v>
      </c>
      <c r="P617" s="104">
        <f t="shared" si="143"/>
        <v>0.39609572179891905</v>
      </c>
      <c r="Q617" s="105">
        <f t="shared" si="144"/>
        <v>-0.31045127106383008</v>
      </c>
      <c r="R617" s="105">
        <f t="shared" si="145"/>
        <v>-0.53920825640541792</v>
      </c>
      <c r="S617" s="104">
        <f t="shared" si="146"/>
        <v>1.4304016016715982E-4</v>
      </c>
      <c r="T617" s="104">
        <f t="shared" si="147"/>
        <v>4.3150334850415844E-4</v>
      </c>
      <c r="U617" s="104">
        <f t="shared" si="148"/>
        <v>2.4843974738898082E-4</v>
      </c>
      <c r="V617" s="103">
        <f t="shared" si="149"/>
        <v>0</v>
      </c>
      <c r="W617" s="103">
        <f t="shared" si="150"/>
        <v>0</v>
      </c>
      <c r="X617" s="103">
        <f t="shared" si="151"/>
        <v>0</v>
      </c>
      <c r="Z617" s="102">
        <f t="shared" si="136"/>
        <v>1.1130953450750297E-9</v>
      </c>
      <c r="AA617" s="102">
        <f t="shared" si="137"/>
        <v>3.0268406231537045E-5</v>
      </c>
    </row>
    <row r="618" spans="1:27" x14ac:dyDescent="0.25">
      <c r="A618" s="530"/>
      <c r="B618" s="96">
        <v>71</v>
      </c>
      <c r="C618" s="110">
        <v>0</v>
      </c>
      <c r="D618" s="110">
        <f t="shared" si="152"/>
        <v>2760.7739999999999</v>
      </c>
      <c r="E618" s="109">
        <f t="shared" si="138"/>
        <v>0</v>
      </c>
      <c r="F618" s="108">
        <f t="shared" si="130"/>
        <v>4.4006005316054226</v>
      </c>
      <c r="G618" s="108">
        <f t="shared" si="131"/>
        <v>-0.12691095057615792</v>
      </c>
      <c r="H618" s="107">
        <f t="shared" si="132"/>
        <v>1.5301691675597877E-3</v>
      </c>
      <c r="I618" s="106">
        <f t="shared" si="139"/>
        <v>0</v>
      </c>
      <c r="J618" s="104">
        <f t="shared" si="140"/>
        <v>0</v>
      </c>
      <c r="K618" s="104">
        <f t="shared" si="141"/>
        <v>0</v>
      </c>
      <c r="L618" s="102">
        <f t="shared" si="133"/>
        <v>1.3502837265725901E-7</v>
      </c>
      <c r="M618" s="104">
        <f t="shared" si="134"/>
        <v>1.6587449462991299E-5</v>
      </c>
      <c r="N618" s="104">
        <f t="shared" si="135"/>
        <v>2.1031521271939004E-6</v>
      </c>
      <c r="O618" s="104">
        <f t="shared" si="142"/>
        <v>4.2095632813437938</v>
      </c>
      <c r="P618" s="104">
        <f t="shared" si="143"/>
        <v>0.39609572179891905</v>
      </c>
      <c r="Q618" s="105">
        <f t="shared" si="144"/>
        <v>0.19103725026162888</v>
      </c>
      <c r="R618" s="105">
        <f t="shared" si="145"/>
        <v>-0.52300667237507703</v>
      </c>
      <c r="S618" s="104">
        <f t="shared" si="146"/>
        <v>5.5843877220082117E-5</v>
      </c>
      <c r="T618" s="104">
        <f t="shared" si="147"/>
        <v>4.1855632181788283E-4</v>
      </c>
      <c r="U618" s="104">
        <f t="shared" si="148"/>
        <v>-1.5288494970168591E-4</v>
      </c>
      <c r="V618" s="103">
        <f t="shared" si="149"/>
        <v>0</v>
      </c>
      <c r="W618" s="103">
        <f t="shared" si="150"/>
        <v>0</v>
      </c>
      <c r="X618" s="103">
        <f t="shared" si="151"/>
        <v>0</v>
      </c>
      <c r="Z618" s="102">
        <f t="shared" si="136"/>
        <v>1.1476268756698407E-9</v>
      </c>
      <c r="AA618" s="102">
        <f t="shared" si="137"/>
        <v>3.3173751336870712E-5</v>
      </c>
    </row>
    <row r="619" spans="1:27" x14ac:dyDescent="0.25">
      <c r="A619" s="530"/>
      <c r="B619" s="96">
        <v>72</v>
      </c>
      <c r="C619" s="110">
        <v>0</v>
      </c>
      <c r="D619" s="110">
        <f t="shared" si="152"/>
        <v>2760.7739999999999</v>
      </c>
      <c r="E619" s="109">
        <f t="shared" si="138"/>
        <v>0</v>
      </c>
      <c r="F619" s="108">
        <f t="shared" si="130"/>
        <v>4.9150258637357815</v>
      </c>
      <c r="G619" s="108">
        <f t="shared" si="131"/>
        <v>-0.10880709090637658</v>
      </c>
      <c r="H619" s="107">
        <f t="shared" si="132"/>
        <v>1.5632521653929053E-3</v>
      </c>
      <c r="I619" s="106">
        <f t="shared" si="139"/>
        <v>0</v>
      </c>
      <c r="J619" s="104">
        <f t="shared" si="140"/>
        <v>0</v>
      </c>
      <c r="K619" s="104">
        <f t="shared" si="141"/>
        <v>0</v>
      </c>
      <c r="L619" s="102">
        <f t="shared" si="133"/>
        <v>1.7195193928591814E-7</v>
      </c>
      <c r="M619" s="104">
        <f t="shared" si="134"/>
        <v>1.7686738707778669E-5</v>
      </c>
      <c r="N619" s="104">
        <f t="shared" si="135"/>
        <v>2.4518357824739556E-6</v>
      </c>
      <c r="O619" s="104">
        <f t="shared" si="142"/>
        <v>4.2095632813437938</v>
      </c>
      <c r="P619" s="104">
        <f t="shared" si="143"/>
        <v>0.39609572179891905</v>
      </c>
      <c r="Q619" s="105">
        <f t="shared" si="144"/>
        <v>0.70546258239198778</v>
      </c>
      <c r="R619" s="105">
        <f t="shared" si="145"/>
        <v>-0.50490281270529569</v>
      </c>
      <c r="S619" s="104">
        <f t="shared" si="146"/>
        <v>7.7799535943855343E-4</v>
      </c>
      <c r="T619" s="104">
        <f t="shared" si="147"/>
        <v>3.98514950713437E-4</v>
      </c>
      <c r="U619" s="104">
        <f t="shared" si="148"/>
        <v>-5.5681485461680873E-4</v>
      </c>
      <c r="V619" s="103">
        <f t="shared" si="149"/>
        <v>0</v>
      </c>
      <c r="W619" s="103">
        <f t="shared" si="150"/>
        <v>0</v>
      </c>
      <c r="X619" s="103">
        <f t="shared" si="151"/>
        <v>0</v>
      </c>
      <c r="Z619" s="102">
        <f t="shared" si="136"/>
        <v>1.172439124044679E-9</v>
      </c>
      <c r="AA619" s="102">
        <f t="shared" si="137"/>
        <v>3.5372305017504695E-5</v>
      </c>
    </row>
    <row r="620" spans="1:27" x14ac:dyDescent="0.25">
      <c r="A620" s="530"/>
      <c r="B620" s="96">
        <v>73</v>
      </c>
      <c r="C620" s="110">
        <v>0</v>
      </c>
      <c r="D620" s="110">
        <f t="shared" si="152"/>
        <v>2760.7739999999999</v>
      </c>
      <c r="E620" s="109">
        <f t="shared" si="138"/>
        <v>0</v>
      </c>
      <c r="F620" s="108">
        <f t="shared" si="130"/>
        <v>5.4379510013123342</v>
      </c>
      <c r="G620" s="108">
        <f t="shared" si="131"/>
        <v>-8.9715940290567397E-2</v>
      </c>
      <c r="H620" s="107">
        <f t="shared" si="132"/>
        <v>1.5822288976133502E-3</v>
      </c>
      <c r="I620" s="106">
        <f t="shared" si="139"/>
        <v>0</v>
      </c>
      <c r="J620" s="104">
        <f t="shared" si="140"/>
        <v>0</v>
      </c>
      <c r="K620" s="104">
        <f t="shared" si="141"/>
        <v>0</v>
      </c>
      <c r="L620" s="102">
        <f t="shared" si="133"/>
        <v>1.9340651250822531E-7</v>
      </c>
      <c r="M620" s="104">
        <f t="shared" si="134"/>
        <v>1.8338686922293681E-5</v>
      </c>
      <c r="N620" s="104">
        <f t="shared" si="135"/>
        <v>2.6481529978534471E-6</v>
      </c>
      <c r="O620" s="104">
        <f t="shared" si="142"/>
        <v>4.2095632813437938</v>
      </c>
      <c r="P620" s="104">
        <f t="shared" si="143"/>
        <v>0.39609572179891905</v>
      </c>
      <c r="Q620" s="105">
        <f t="shared" si="144"/>
        <v>1.2283877199685405</v>
      </c>
      <c r="R620" s="105">
        <f t="shared" si="145"/>
        <v>-0.48581166208948645</v>
      </c>
      <c r="S620" s="104">
        <f t="shared" si="146"/>
        <v>2.3874827618194623E-3</v>
      </c>
      <c r="T620" s="104">
        <f t="shared" si="147"/>
        <v>3.7342654296282693E-4</v>
      </c>
      <c r="U620" s="104">
        <f t="shared" si="148"/>
        <v>-9.4421895454898817E-4</v>
      </c>
      <c r="V620" s="103">
        <f t="shared" si="149"/>
        <v>0</v>
      </c>
      <c r="W620" s="103">
        <f t="shared" si="150"/>
        <v>0</v>
      </c>
      <c r="X620" s="103">
        <f t="shared" si="151"/>
        <v>0</v>
      </c>
      <c r="Z620" s="102">
        <f t="shared" si="136"/>
        <v>1.1866716732100127E-9</v>
      </c>
      <c r="AA620" s="102">
        <f t="shared" si="137"/>
        <v>3.6676187215980524E-5</v>
      </c>
    </row>
    <row r="621" spans="1:27" x14ac:dyDescent="0.25">
      <c r="A621" s="530"/>
      <c r="B621" s="96">
        <v>74</v>
      </c>
      <c r="C621" s="110">
        <v>0</v>
      </c>
      <c r="D621" s="110">
        <f t="shared" si="152"/>
        <v>2760.7739999999999</v>
      </c>
      <c r="E621" s="109">
        <f t="shared" si="138"/>
        <v>0</v>
      </c>
      <c r="F621" s="108">
        <f t="shared" si="130"/>
        <v>5.9646181916010477</v>
      </c>
      <c r="G621" s="108">
        <f t="shared" si="131"/>
        <v>-7.1841069611266781E-2</v>
      </c>
      <c r="H621" s="107">
        <f t="shared" si="132"/>
        <v>1.585557453997299E-3</v>
      </c>
      <c r="I621" s="106">
        <f t="shared" si="139"/>
        <v>0</v>
      </c>
      <c r="J621" s="104">
        <f t="shared" si="140"/>
        <v>0</v>
      </c>
      <c r="K621" s="104">
        <f t="shared" si="141"/>
        <v>0</v>
      </c>
      <c r="L621" s="102">
        <f t="shared" si="133"/>
        <v>1.7005141074353822E-7</v>
      </c>
      <c r="M621" s="104">
        <f t="shared" si="134"/>
        <v>1.8454666101274009E-5</v>
      </c>
      <c r="N621" s="104">
        <f t="shared" si="135"/>
        <v>2.4907180791323592E-6</v>
      </c>
      <c r="O621" s="104">
        <f t="shared" si="142"/>
        <v>4.2095632813437938</v>
      </c>
      <c r="P621" s="104">
        <f t="shared" si="143"/>
        <v>0.39609572179891905</v>
      </c>
      <c r="Q621" s="105">
        <f t="shared" si="144"/>
        <v>1.7550549102572539</v>
      </c>
      <c r="R621" s="105">
        <f t="shared" si="145"/>
        <v>-0.46793679141018585</v>
      </c>
      <c r="S621" s="104">
        <f t="shared" si="146"/>
        <v>4.8838621944492936E-3</v>
      </c>
      <c r="T621" s="104">
        <f t="shared" si="147"/>
        <v>3.4718133542283372E-4</v>
      </c>
      <c r="U621" s="104">
        <f t="shared" si="148"/>
        <v>-1.3021466118260251E-3</v>
      </c>
      <c r="V621" s="103">
        <f t="shared" si="149"/>
        <v>0</v>
      </c>
      <c r="W621" s="103">
        <f t="shared" si="150"/>
        <v>0</v>
      </c>
      <c r="X621" s="103">
        <f t="shared" si="151"/>
        <v>0</v>
      </c>
      <c r="Z621" s="102">
        <f t="shared" si="136"/>
        <v>1.1891680904979742E-9</v>
      </c>
      <c r="AA621" s="102">
        <f t="shared" si="137"/>
        <v>3.690814307794588E-5</v>
      </c>
    </row>
    <row r="622" spans="1:27" x14ac:dyDescent="0.25">
      <c r="A622" s="530"/>
      <c r="B622" s="96">
        <v>75</v>
      </c>
      <c r="C622" s="110">
        <v>0</v>
      </c>
      <c r="D622" s="110">
        <f t="shared" si="152"/>
        <v>2760.7739999999999</v>
      </c>
      <c r="E622" s="109">
        <f t="shared" si="138"/>
        <v>0</v>
      </c>
      <c r="F622" s="108">
        <f t="shared" si="130"/>
        <v>6.4902162239720003</v>
      </c>
      <c r="G622" s="108">
        <f t="shared" si="131"/>
        <v>-5.3771921860285642E-2</v>
      </c>
      <c r="H622" s="107">
        <f t="shared" si="132"/>
        <v>1.5753969871497144E-3</v>
      </c>
      <c r="I622" s="106">
        <f t="shared" si="139"/>
        <v>0</v>
      </c>
      <c r="J622" s="104">
        <f t="shared" si="140"/>
        <v>0</v>
      </c>
      <c r="K622" s="104">
        <f t="shared" si="141"/>
        <v>0</v>
      </c>
      <c r="L622" s="102">
        <f t="shared" si="133"/>
        <v>1.7262855949772566E-7</v>
      </c>
      <c r="M622" s="104">
        <f t="shared" si="134"/>
        <v>1.8102162273340734E-5</v>
      </c>
      <c r="N622" s="104">
        <f t="shared" si="135"/>
        <v>2.485422306165964E-6</v>
      </c>
      <c r="O622" s="104">
        <f t="shared" si="142"/>
        <v>4.2095632813437938</v>
      </c>
      <c r="P622" s="104">
        <f t="shared" si="143"/>
        <v>0.39609572179891905</v>
      </c>
      <c r="Q622" s="105">
        <f t="shared" si="144"/>
        <v>2.2806529426282065</v>
      </c>
      <c r="R622" s="105">
        <f t="shared" si="145"/>
        <v>-0.44986764365920467</v>
      </c>
      <c r="S622" s="104">
        <f t="shared" si="146"/>
        <v>8.1942349855971108E-3</v>
      </c>
      <c r="T622" s="104">
        <f t="shared" si="147"/>
        <v>3.1883025509347096E-4</v>
      </c>
      <c r="U622" s="104">
        <f t="shared" si="148"/>
        <v>-1.6163446509806535E-3</v>
      </c>
      <c r="V622" s="103">
        <f t="shared" si="149"/>
        <v>0</v>
      </c>
      <c r="W622" s="103">
        <f t="shared" si="150"/>
        <v>0</v>
      </c>
      <c r="X622" s="103">
        <f t="shared" si="151"/>
        <v>0</v>
      </c>
      <c r="Z622" s="102">
        <f t="shared" si="136"/>
        <v>1.1815477403622859E-9</v>
      </c>
      <c r="AA622" s="102">
        <f t="shared" si="137"/>
        <v>3.6203143041311684E-5</v>
      </c>
    </row>
    <row r="623" spans="1:27" x14ac:dyDescent="0.25">
      <c r="A623" s="530"/>
      <c r="B623" s="96">
        <v>76</v>
      </c>
      <c r="C623" s="110">
        <v>0</v>
      </c>
      <c r="D623" s="110">
        <f t="shared" si="152"/>
        <v>2760.7739999999999</v>
      </c>
      <c r="E623" s="109">
        <f t="shared" si="138"/>
        <v>0</v>
      </c>
      <c r="F623" s="108">
        <f t="shared" si="130"/>
        <v>7.009773514107609</v>
      </c>
      <c r="G623" s="108">
        <f t="shared" si="131"/>
        <v>-3.6878175915455148E-2</v>
      </c>
      <c r="H623" s="107">
        <f t="shared" si="132"/>
        <v>1.5490016027513592E-3</v>
      </c>
      <c r="I623" s="106">
        <f t="shared" si="139"/>
        <v>0</v>
      </c>
      <c r="J623" s="104">
        <f t="shared" si="140"/>
        <v>0</v>
      </c>
      <c r="K623" s="104">
        <f t="shared" si="141"/>
        <v>0</v>
      </c>
      <c r="L623" s="102">
        <f t="shared" si="133"/>
        <v>1.4851776635274412E-7</v>
      </c>
      <c r="M623" s="104">
        <f t="shared" si="134"/>
        <v>1.7207449772178326E-5</v>
      </c>
      <c r="N623" s="104">
        <f t="shared" si="135"/>
        <v>2.2470394494204423E-6</v>
      </c>
      <c r="O623" s="104">
        <f t="shared" si="142"/>
        <v>4.2095632813437938</v>
      </c>
      <c r="P623" s="104">
        <f t="shared" si="143"/>
        <v>0.39609572179891905</v>
      </c>
      <c r="Q623" s="105">
        <f t="shared" si="144"/>
        <v>2.8002102327638152</v>
      </c>
      <c r="R623" s="105">
        <f t="shared" si="145"/>
        <v>-0.43297389771437422</v>
      </c>
      <c r="S623" s="104">
        <f t="shared" si="146"/>
        <v>1.2145996279006506E-2</v>
      </c>
      <c r="T623" s="104">
        <f t="shared" si="147"/>
        <v>2.9038574802398411E-4</v>
      </c>
      <c r="U623" s="104">
        <f t="shared" si="148"/>
        <v>-1.8780373305597074E-3</v>
      </c>
      <c r="V623" s="103">
        <f t="shared" si="149"/>
        <v>0</v>
      </c>
      <c r="W623" s="103">
        <f t="shared" si="150"/>
        <v>0</v>
      </c>
      <c r="X623" s="103">
        <f t="shared" si="151"/>
        <v>0</v>
      </c>
      <c r="Z623" s="102">
        <f t="shared" si="136"/>
        <v>1.1617512020635193E-9</v>
      </c>
      <c r="AA623" s="102">
        <f t="shared" si="137"/>
        <v>3.4413737832792399E-5</v>
      </c>
    </row>
    <row r="624" spans="1:27" x14ac:dyDescent="0.25">
      <c r="A624" s="530"/>
      <c r="B624" s="96">
        <v>77</v>
      </c>
      <c r="C624" s="110">
        <v>0</v>
      </c>
      <c r="D624" s="110">
        <f t="shared" si="152"/>
        <v>2760.7739999999999</v>
      </c>
      <c r="E624" s="109">
        <f t="shared" si="138"/>
        <v>0</v>
      </c>
      <c r="F624" s="108">
        <f t="shared" si="130"/>
        <v>7.5180511882108458</v>
      </c>
      <c r="G624" s="108">
        <f t="shared" si="131"/>
        <v>-2.1771517857364656E-2</v>
      </c>
      <c r="H624" s="107">
        <f t="shared" si="132"/>
        <v>1.5067132456981066E-3</v>
      </c>
      <c r="I624" s="106">
        <f t="shared" si="139"/>
        <v>0</v>
      </c>
      <c r="J624" s="104">
        <f t="shared" si="140"/>
        <v>0</v>
      </c>
      <c r="K624" s="104">
        <f t="shared" si="141"/>
        <v>0</v>
      </c>
      <c r="L624" s="102">
        <f t="shared" si="133"/>
        <v>1.1574218338007621E-7</v>
      </c>
      <c r="M624" s="104">
        <f t="shared" si="134"/>
        <v>1.5836294238209419E-5</v>
      </c>
      <c r="N624" s="104">
        <f t="shared" si="135"/>
        <v>1.9017540430244286E-6</v>
      </c>
      <c r="O624" s="104">
        <f t="shared" si="142"/>
        <v>4.2095632813437938</v>
      </c>
      <c r="P624" s="104">
        <f t="shared" si="143"/>
        <v>0.39609572179891905</v>
      </c>
      <c r="Q624" s="105">
        <f t="shared" si="144"/>
        <v>3.3084879068670521</v>
      </c>
      <c r="R624" s="105">
        <f t="shared" si="145"/>
        <v>-0.4178672396562837</v>
      </c>
      <c r="S624" s="104">
        <f t="shared" si="146"/>
        <v>1.649262215140165E-2</v>
      </c>
      <c r="T624" s="104">
        <f t="shared" si="147"/>
        <v>2.6309176513927596E-4</v>
      </c>
      <c r="U624" s="104">
        <f t="shared" si="148"/>
        <v>-2.0830441842619139E-3</v>
      </c>
      <c r="V624" s="103">
        <f t="shared" si="149"/>
        <v>0</v>
      </c>
      <c r="W624" s="103">
        <f t="shared" si="150"/>
        <v>0</v>
      </c>
      <c r="X624" s="103">
        <f t="shared" si="151"/>
        <v>0</v>
      </c>
      <c r="Z624" s="102">
        <f t="shared" si="136"/>
        <v>1.1300349342735799E-9</v>
      </c>
      <c r="AA624" s="102">
        <f t="shared" si="137"/>
        <v>3.1671458477015381E-5</v>
      </c>
    </row>
    <row r="625" spans="1:27" x14ac:dyDescent="0.25">
      <c r="A625" s="530"/>
      <c r="B625" s="96">
        <v>78</v>
      </c>
      <c r="C625" s="110">
        <v>0</v>
      </c>
      <c r="D625" s="110">
        <f t="shared" si="152"/>
        <v>2760.7739999999999</v>
      </c>
      <c r="E625" s="109">
        <f t="shared" si="138"/>
        <v>0</v>
      </c>
      <c r="F625" s="108">
        <f t="shared" si="130"/>
        <v>8.0094896251093584</v>
      </c>
      <c r="G625" s="108">
        <f t="shared" si="131"/>
        <v>-9.0094944666324998E-3</v>
      </c>
      <c r="H625" s="107">
        <f t="shared" si="132"/>
        <v>1.4466740730610696E-3</v>
      </c>
      <c r="I625" s="106">
        <f t="shared" si="139"/>
        <v>0</v>
      </c>
      <c r="J625" s="104">
        <f t="shared" si="140"/>
        <v>0</v>
      </c>
      <c r="K625" s="104">
        <f t="shared" si="141"/>
        <v>0</v>
      </c>
      <c r="L625" s="102">
        <f t="shared" si="133"/>
        <v>7.96215352751806E-8</v>
      </c>
      <c r="M625" s="104">
        <f t="shared" si="134"/>
        <v>1.4017648033156313E-5</v>
      </c>
      <c r="N625" s="104">
        <f t="shared" si="135"/>
        <v>1.4817072765781602E-6</v>
      </c>
      <c r="O625" s="104">
        <f t="shared" si="142"/>
        <v>4.2095632813437938</v>
      </c>
      <c r="P625" s="104">
        <f t="shared" si="143"/>
        <v>0.39609572179891905</v>
      </c>
      <c r="Q625" s="105">
        <f t="shared" si="144"/>
        <v>3.7999263437655646</v>
      </c>
      <c r="R625" s="105">
        <f t="shared" si="145"/>
        <v>-0.40510521626555157</v>
      </c>
      <c r="S625" s="104">
        <f t="shared" si="146"/>
        <v>2.0889163792958854E-2</v>
      </c>
      <c r="T625" s="104">
        <f t="shared" si="147"/>
        <v>2.3741402390037766E-4</v>
      </c>
      <c r="U625" s="104">
        <f t="shared" si="148"/>
        <v>-2.2269666436658714E-3</v>
      </c>
      <c r="V625" s="103">
        <f t="shared" si="149"/>
        <v>0</v>
      </c>
      <c r="W625" s="103">
        <f t="shared" si="150"/>
        <v>0</v>
      </c>
      <c r="X625" s="103">
        <f t="shared" si="151"/>
        <v>0</v>
      </c>
      <c r="Z625" s="102">
        <f t="shared" si="136"/>
        <v>1.0850055547958023E-9</v>
      </c>
      <c r="AA625" s="102">
        <f t="shared" si="137"/>
        <v>2.8034211091004671E-5</v>
      </c>
    </row>
    <row r="626" spans="1:27" x14ac:dyDescent="0.25">
      <c r="A626" s="530"/>
      <c r="B626" s="96">
        <v>79</v>
      </c>
      <c r="C626" s="110">
        <v>0</v>
      </c>
      <c r="D626" s="110">
        <f t="shared" si="152"/>
        <v>2760.7739999999999</v>
      </c>
      <c r="E626" s="109">
        <f t="shared" si="138"/>
        <v>0</v>
      </c>
      <c r="F626" s="108">
        <f t="shared" si="130"/>
        <v>8.4780480825678008</v>
      </c>
      <c r="G626" s="108">
        <f t="shared" si="131"/>
        <v>1.1639896642083297E-3</v>
      </c>
      <c r="H626" s="107">
        <f t="shared" si="132"/>
        <v>1.3680670171919063E-3</v>
      </c>
      <c r="I626" s="106">
        <f t="shared" si="139"/>
        <v>0</v>
      </c>
      <c r="J626" s="104">
        <f t="shared" si="140"/>
        <v>0</v>
      </c>
      <c r="K626" s="104">
        <f t="shared" si="141"/>
        <v>0</v>
      </c>
      <c r="L626" s="102">
        <f t="shared" si="133"/>
        <v>4.8222219080725675E-8</v>
      </c>
      <c r="M626" s="104">
        <f t="shared" si="134"/>
        <v>1.1854607009205177E-5</v>
      </c>
      <c r="N626" s="104">
        <f t="shared" si="135"/>
        <v>1.0567212209757939E-6</v>
      </c>
      <c r="O626" s="104">
        <f t="shared" si="142"/>
        <v>4.2095632813437938</v>
      </c>
      <c r="P626" s="104">
        <f t="shared" si="143"/>
        <v>0.39609572179891905</v>
      </c>
      <c r="Q626" s="105">
        <f t="shared" si="144"/>
        <v>4.2684848012240071</v>
      </c>
      <c r="R626" s="105">
        <f t="shared" si="145"/>
        <v>-0.39493173213471072</v>
      </c>
      <c r="S626" s="104">
        <f t="shared" si="146"/>
        <v>2.4926129748370794E-2</v>
      </c>
      <c r="T626" s="104">
        <f t="shared" si="147"/>
        <v>2.1337888067152474E-4</v>
      </c>
      <c r="U626" s="104">
        <f t="shared" si="148"/>
        <v>-2.3062327864247691E-3</v>
      </c>
      <c r="V626" s="103">
        <f t="shared" si="149"/>
        <v>0</v>
      </c>
      <c r="W626" s="103">
        <f t="shared" si="150"/>
        <v>0</v>
      </c>
      <c r="X626" s="103">
        <f t="shared" si="151"/>
        <v>0</v>
      </c>
      <c r="Z626" s="102">
        <f t="shared" si="136"/>
        <v>1.0260502628939297E-9</v>
      </c>
      <c r="AA626" s="102">
        <f t="shared" si="137"/>
        <v>2.3708187992376397E-5</v>
      </c>
    </row>
    <row r="627" spans="1:27" x14ac:dyDescent="0.25">
      <c r="A627" s="530"/>
      <c r="B627" s="96">
        <v>80</v>
      </c>
      <c r="C627" s="110">
        <v>0</v>
      </c>
      <c r="D627" s="110">
        <f t="shared" si="152"/>
        <v>2760.7739999999999</v>
      </c>
      <c r="E627" s="109">
        <f t="shared" si="138"/>
        <v>0</v>
      </c>
      <c r="F627" s="108">
        <f t="shared" si="130"/>
        <v>8.9172046972878363</v>
      </c>
      <c r="G627" s="108">
        <f t="shared" si="131"/>
        <v>8.4740332730913834E-3</v>
      </c>
      <c r="H627" s="107">
        <f t="shared" si="132"/>
        <v>1.2689933204499031E-3</v>
      </c>
      <c r="I627" s="106">
        <f t="shared" si="139"/>
        <v>0</v>
      </c>
      <c r="J627" s="104">
        <f t="shared" si="140"/>
        <v>0</v>
      </c>
      <c r="K627" s="104">
        <f t="shared" si="141"/>
        <v>0</v>
      </c>
      <c r="L627" s="102">
        <f t="shared" si="133"/>
        <v>2.3554229044176961E-8</v>
      </c>
      <c r="M627" s="104">
        <f t="shared" si="134"/>
        <v>9.4611973436464373E-6</v>
      </c>
      <c r="N627" s="104">
        <f t="shared" si="135"/>
        <v>6.5355889459077535E-7</v>
      </c>
      <c r="O627" s="104">
        <f t="shared" si="142"/>
        <v>4.2095632813437938</v>
      </c>
      <c r="P627" s="104">
        <f t="shared" si="143"/>
        <v>0.39609572179891905</v>
      </c>
      <c r="Q627" s="105">
        <f t="shared" si="144"/>
        <v>4.7076414159440425</v>
      </c>
      <c r="R627" s="105">
        <f t="shared" si="145"/>
        <v>-0.38762168852582768</v>
      </c>
      <c r="S627" s="104">
        <f t="shared" si="146"/>
        <v>2.8123287461271518E-2</v>
      </c>
      <c r="T627" s="104">
        <f t="shared" si="147"/>
        <v>1.9066697405818164E-4</v>
      </c>
      <c r="U627" s="104">
        <f t="shared" si="148"/>
        <v>-2.3156385989201857E-3</v>
      </c>
      <c r="V627" s="103">
        <f t="shared" si="149"/>
        <v>0</v>
      </c>
      <c r="W627" s="103">
        <f t="shared" si="150"/>
        <v>0</v>
      </c>
      <c r="X627" s="103">
        <f t="shared" si="151"/>
        <v>0</v>
      </c>
      <c r="Z627" s="102">
        <f t="shared" si="136"/>
        <v>9.5174499033742741E-10</v>
      </c>
      <c r="AA627" s="102">
        <f t="shared" si="137"/>
        <v>1.8921442960267899E-5</v>
      </c>
    </row>
    <row r="628" spans="1:27" x14ac:dyDescent="0.25">
      <c r="A628" s="530"/>
      <c r="B628" s="96">
        <v>81</v>
      </c>
      <c r="C628" s="110">
        <v>0</v>
      </c>
      <c r="D628" s="110">
        <f t="shared" si="152"/>
        <v>2760.7739999999999</v>
      </c>
      <c r="E628" s="109">
        <f t="shared" si="138"/>
        <v>0</v>
      </c>
      <c r="F628" s="108">
        <f t="shared" si="130"/>
        <v>9.3202772322834591</v>
      </c>
      <c r="G628" s="108">
        <f t="shared" si="131"/>
        <v>1.0706902761963868E-2</v>
      </c>
      <c r="H628" s="107">
        <f t="shared" si="132"/>
        <v>1.1502781088448587E-3</v>
      </c>
      <c r="I628" s="106">
        <f t="shared" si="139"/>
        <v>0</v>
      </c>
      <c r="J628" s="104">
        <f t="shared" si="140"/>
        <v>0</v>
      </c>
      <c r="K628" s="104">
        <f t="shared" si="141"/>
        <v>0</v>
      </c>
      <c r="L628" s="102">
        <f t="shared" si="133"/>
        <v>2.7742411030477483E-9</v>
      </c>
      <c r="M628" s="104">
        <f t="shared" si="134"/>
        <v>7.0466288653530675E-6</v>
      </c>
      <c r="N628" s="104">
        <f t="shared" si="135"/>
        <v>1.6411206037505892E-7</v>
      </c>
      <c r="O628" s="104">
        <f t="shared" si="142"/>
        <v>4.2095632813437938</v>
      </c>
      <c r="P628" s="104">
        <f t="shared" si="143"/>
        <v>0.39609572179891905</v>
      </c>
      <c r="Q628" s="105">
        <f t="shared" si="144"/>
        <v>5.1107139509396653</v>
      </c>
      <c r="R628" s="105">
        <f t="shared" si="145"/>
        <v>-0.38538881903695521</v>
      </c>
      <c r="S628" s="104">
        <f t="shared" si="146"/>
        <v>3.0044570686931362E-2</v>
      </c>
      <c r="T628" s="104">
        <f t="shared" si="147"/>
        <v>1.7084452910326778E-4</v>
      </c>
      <c r="U628" s="104">
        <f t="shared" si="148"/>
        <v>-2.2656015826086084E-3</v>
      </c>
      <c r="V628" s="103">
        <f t="shared" si="149"/>
        <v>0</v>
      </c>
      <c r="W628" s="103">
        <f t="shared" si="150"/>
        <v>0</v>
      </c>
      <c r="X628" s="103">
        <f t="shared" si="151"/>
        <v>0</v>
      </c>
      <c r="Z628" s="102">
        <f t="shared" si="136"/>
        <v>8.6270858163364386E-10</v>
      </c>
      <c r="AA628" s="102">
        <f t="shared" si="137"/>
        <v>1.4092395034278833E-5</v>
      </c>
    </row>
    <row r="629" spans="1:27" x14ac:dyDescent="0.25">
      <c r="A629" s="530"/>
      <c r="B629" s="96">
        <v>82</v>
      </c>
      <c r="C629" s="110">
        <v>0</v>
      </c>
      <c r="D629" s="110">
        <f t="shared" si="152"/>
        <v>2760.7739999999999</v>
      </c>
      <c r="E629" s="109">
        <f t="shared" si="138"/>
        <v>0</v>
      </c>
      <c r="F629" s="108">
        <f t="shared" si="130"/>
        <v>9.6809041979440025</v>
      </c>
      <c r="G629" s="108">
        <f t="shared" si="131"/>
        <v>1.2142008950193029E-2</v>
      </c>
      <c r="H629" s="107">
        <f t="shared" si="132"/>
        <v>1.0135982808864141E-3</v>
      </c>
      <c r="I629" s="106">
        <f t="shared" si="139"/>
        <v>0</v>
      </c>
      <c r="J629" s="104">
        <f t="shared" si="140"/>
        <v>0</v>
      </c>
      <c r="K629" s="104">
        <f t="shared" si="141"/>
        <v>0</v>
      </c>
      <c r="L629" s="102">
        <f t="shared" si="133"/>
        <v>1.45598912798776E-9</v>
      </c>
      <c r="M629" s="104">
        <f t="shared" si="134"/>
        <v>4.8214546183328253E-6</v>
      </c>
      <c r="N629" s="104">
        <f t="shared" si="135"/>
        <v>8.190178169500983E-8</v>
      </c>
      <c r="O629" s="104">
        <f t="shared" si="142"/>
        <v>4.2095632813437938</v>
      </c>
      <c r="P629" s="104">
        <f t="shared" si="143"/>
        <v>0.39609572179891905</v>
      </c>
      <c r="Q629" s="105">
        <f t="shared" si="144"/>
        <v>5.4713409166002087</v>
      </c>
      <c r="R629" s="105">
        <f t="shared" si="145"/>
        <v>-0.38395371284872604</v>
      </c>
      <c r="S629" s="104">
        <f t="shared" si="146"/>
        <v>3.0342643734405095E-2</v>
      </c>
      <c r="T629" s="104">
        <f t="shared" si="147"/>
        <v>1.494251183469177E-4</v>
      </c>
      <c r="U629" s="104">
        <f t="shared" si="148"/>
        <v>-2.1293081343412563E-3</v>
      </c>
      <c r="V629" s="103">
        <f t="shared" si="149"/>
        <v>0</v>
      </c>
      <c r="W629" s="103">
        <f t="shared" si="150"/>
        <v>0</v>
      </c>
      <c r="X629" s="103">
        <f t="shared" si="151"/>
        <v>0</v>
      </c>
      <c r="Z629" s="102">
        <f t="shared" si="136"/>
        <v>7.601987106648106E-10</v>
      </c>
      <c r="AA629" s="102">
        <f t="shared" si="137"/>
        <v>9.6421490452838766E-6</v>
      </c>
    </row>
    <row r="630" spans="1:27" x14ac:dyDescent="0.25">
      <c r="A630" s="530"/>
      <c r="B630" s="96">
        <v>83</v>
      </c>
      <c r="C630" s="110">
        <v>0</v>
      </c>
      <c r="D630" s="110">
        <f t="shared" si="152"/>
        <v>2760.7739999999999</v>
      </c>
      <c r="E630" s="109">
        <f t="shared" si="138"/>
        <v>0</v>
      </c>
      <c r="F630" s="108">
        <f t="shared" si="130"/>
        <v>9.9936863467847736</v>
      </c>
      <c r="G630" s="108">
        <f t="shared" si="131"/>
        <v>1.1156480398606141E-2</v>
      </c>
      <c r="H630" s="107">
        <f t="shared" si="132"/>
        <v>8.6315144185742938E-4</v>
      </c>
      <c r="I630" s="106">
        <f t="shared" si="139"/>
        <v>0</v>
      </c>
      <c r="J630" s="104">
        <f t="shared" si="140"/>
        <v>0</v>
      </c>
      <c r="K630" s="104">
        <f t="shared" si="141"/>
        <v>0</v>
      </c>
      <c r="L630" s="102">
        <f t="shared" si="133"/>
        <v>9.2678323358767804E-10</v>
      </c>
      <c r="M630" s="104">
        <f t="shared" si="134"/>
        <v>2.9775184668237058E-6</v>
      </c>
      <c r="N630" s="104">
        <f t="shared" si="135"/>
        <v>-4.0786204804195471E-8</v>
      </c>
      <c r="O630" s="104">
        <f t="shared" si="142"/>
        <v>4.2095632813437938</v>
      </c>
      <c r="P630" s="104">
        <f t="shared" si="143"/>
        <v>0.39609572179891905</v>
      </c>
      <c r="Q630" s="105">
        <f t="shared" si="144"/>
        <v>5.7841230654409799</v>
      </c>
      <c r="R630" s="105">
        <f t="shared" si="145"/>
        <v>-0.38493924140031294</v>
      </c>
      <c r="S630" s="104">
        <f t="shared" si="146"/>
        <v>2.8877663376853973E-2</v>
      </c>
      <c r="T630" s="104">
        <f t="shared" si="147"/>
        <v>1.279002438735814E-4</v>
      </c>
      <c r="U630" s="104">
        <f t="shared" si="148"/>
        <v>-1.9218377112542083E-3</v>
      </c>
      <c r="V630" s="103">
        <f t="shared" si="149"/>
        <v>0</v>
      </c>
      <c r="W630" s="103">
        <f t="shared" si="150"/>
        <v>0</v>
      </c>
      <c r="X630" s="103">
        <f t="shared" si="151"/>
        <v>0</v>
      </c>
      <c r="Z630" s="102">
        <f t="shared" si="136"/>
        <v>6.4736358139307208E-10</v>
      </c>
      <c r="AA630" s="102">
        <f t="shared" si="137"/>
        <v>5.9543895739203118E-6</v>
      </c>
    </row>
    <row r="631" spans="1:27" x14ac:dyDescent="0.25">
      <c r="A631" s="530"/>
      <c r="B631" s="96">
        <v>84</v>
      </c>
      <c r="C631" s="110">
        <v>0</v>
      </c>
      <c r="D631" s="110">
        <f t="shared" si="152"/>
        <v>2760.7739999999999</v>
      </c>
      <c r="E631" s="109">
        <f t="shared" si="138"/>
        <v>0</v>
      </c>
      <c r="F631" s="108">
        <f t="shared" si="130"/>
        <v>10.254400505030617</v>
      </c>
      <c r="G631" s="108">
        <f t="shared" si="131"/>
        <v>8.4063082355722869E-3</v>
      </c>
      <c r="H631" s="107">
        <f t="shared" si="132"/>
        <v>7.013479041896709E-4</v>
      </c>
      <c r="I631" s="106">
        <f t="shared" si="139"/>
        <v>0</v>
      </c>
      <c r="J631" s="104">
        <f t="shared" si="140"/>
        <v>0</v>
      </c>
      <c r="K631" s="104">
        <f t="shared" si="141"/>
        <v>0</v>
      </c>
      <c r="L631" s="102">
        <f t="shared" si="133"/>
        <v>2.2939223059404015E-9</v>
      </c>
      <c r="M631" s="104">
        <f t="shared" si="134"/>
        <v>1.5974168795495553E-6</v>
      </c>
      <c r="N631" s="104">
        <f t="shared" si="135"/>
        <v>-7.5121219131501033E-8</v>
      </c>
      <c r="O631" s="104">
        <f t="shared" si="142"/>
        <v>4.2095632813437938</v>
      </c>
      <c r="P631" s="104">
        <f t="shared" si="143"/>
        <v>0.39609572179891905</v>
      </c>
      <c r="Q631" s="105">
        <f t="shared" si="144"/>
        <v>6.0448372236868231</v>
      </c>
      <c r="R631" s="105">
        <f t="shared" si="145"/>
        <v>-0.38768941356334674</v>
      </c>
      <c r="S631" s="104">
        <f t="shared" si="146"/>
        <v>2.5627292438612035E-2</v>
      </c>
      <c r="T631" s="104">
        <f t="shared" si="147"/>
        <v>1.05414751125489E-4</v>
      </c>
      <c r="U631" s="104">
        <f t="shared" si="148"/>
        <v>-1.6436224184515169E-3</v>
      </c>
      <c r="V631" s="103">
        <f t="shared" si="149"/>
        <v>0</v>
      </c>
      <c r="W631" s="103">
        <f t="shared" si="150"/>
        <v>0</v>
      </c>
      <c r="X631" s="103">
        <f t="shared" si="151"/>
        <v>0</v>
      </c>
      <c r="Z631" s="102">
        <f t="shared" si="136"/>
        <v>5.2601092814225319E-10</v>
      </c>
      <c r="AA631" s="102">
        <f t="shared" si="137"/>
        <v>3.1943077498493488E-6</v>
      </c>
    </row>
    <row r="632" spans="1:27" x14ac:dyDescent="0.25">
      <c r="A632" s="530"/>
      <c r="B632" s="96">
        <v>85</v>
      </c>
      <c r="C632" s="110">
        <v>0</v>
      </c>
      <c r="D632" s="110">
        <f t="shared" si="152"/>
        <v>2760.7739999999999</v>
      </c>
      <c r="E632" s="109">
        <f t="shared" si="138"/>
        <v>0</v>
      </c>
      <c r="F632" s="108">
        <f t="shared" si="130"/>
        <v>10.458395835739278</v>
      </c>
      <c r="G632" s="108">
        <f t="shared" si="131"/>
        <v>4.7828317469189811E-3</v>
      </c>
      <c r="H632" s="107">
        <f t="shared" si="132"/>
        <v>5.2327006218328136E-4</v>
      </c>
      <c r="I632" s="106">
        <f t="shared" si="139"/>
        <v>0</v>
      </c>
      <c r="J632" s="104">
        <f t="shared" si="140"/>
        <v>0</v>
      </c>
      <c r="K632" s="104">
        <f t="shared" si="141"/>
        <v>0</v>
      </c>
      <c r="L632" s="102">
        <f t="shared" si="133"/>
        <v>2.68188078476852E-9</v>
      </c>
      <c r="M632" s="104">
        <f t="shared" si="134"/>
        <v>6.6351748050130435E-7</v>
      </c>
      <c r="N632" s="104">
        <f t="shared" si="135"/>
        <v>-5.5055543302668175E-8</v>
      </c>
      <c r="O632" s="104">
        <f t="shared" si="142"/>
        <v>4.2095632813437938</v>
      </c>
      <c r="P632" s="104">
        <f t="shared" si="143"/>
        <v>0.39609572179891905</v>
      </c>
      <c r="Q632" s="105">
        <f t="shared" si="144"/>
        <v>6.2488325543954844</v>
      </c>
      <c r="R632" s="105">
        <f t="shared" si="145"/>
        <v>-0.3913128900520001</v>
      </c>
      <c r="S632" s="104">
        <f t="shared" si="146"/>
        <v>2.0432601400538614E-2</v>
      </c>
      <c r="T632" s="104">
        <f t="shared" si="147"/>
        <v>8.0126135334505848E-5</v>
      </c>
      <c r="U632" s="104">
        <f t="shared" si="148"/>
        <v>-1.279525453070618E-3</v>
      </c>
      <c r="V632" s="103">
        <f t="shared" si="149"/>
        <v>0</v>
      </c>
      <c r="W632" s="103">
        <f t="shared" si="150"/>
        <v>0</v>
      </c>
      <c r="X632" s="103">
        <f t="shared" si="151"/>
        <v>0</v>
      </c>
      <c r="Z632" s="102">
        <f t="shared" si="136"/>
        <v>3.9245254663746098E-10</v>
      </c>
      <c r="AA632" s="102">
        <f t="shared" si="137"/>
        <v>1.3266425089748178E-6</v>
      </c>
    </row>
    <row r="633" spans="1:27" x14ac:dyDescent="0.25">
      <c r="A633" s="530"/>
      <c r="B633" s="96">
        <v>86</v>
      </c>
      <c r="C633" s="110">
        <v>0</v>
      </c>
      <c r="D633" s="110">
        <f t="shared" si="152"/>
        <v>2760.7739999999999</v>
      </c>
      <c r="E633" s="109">
        <f t="shared" si="138"/>
        <v>0</v>
      </c>
      <c r="F633" s="108">
        <f t="shared" si="130"/>
        <v>10.599952344050738</v>
      </c>
      <c r="G633" s="108">
        <f t="shared" si="131"/>
        <v>1.418968318176838E-3</v>
      </c>
      <c r="H633" s="107">
        <f t="shared" si="132"/>
        <v>3.2714402325378526E-4</v>
      </c>
      <c r="I633" s="106">
        <f t="shared" si="139"/>
        <v>0</v>
      </c>
      <c r="J633" s="104">
        <f t="shared" si="140"/>
        <v>0</v>
      </c>
      <c r="K633" s="104">
        <f t="shared" si="141"/>
        <v>0</v>
      </c>
      <c r="L633" s="102">
        <f t="shared" si="133"/>
        <v>1.4783652616974289E-9</v>
      </c>
      <c r="M633" s="104">
        <f t="shared" si="134"/>
        <v>1.622152907242791E-7</v>
      </c>
      <c r="N633" s="104">
        <f t="shared" si="135"/>
        <v>-1.9947428255082676E-8</v>
      </c>
      <c r="O633" s="104">
        <f t="shared" si="142"/>
        <v>4.2095632813437938</v>
      </c>
      <c r="P633" s="104">
        <f t="shared" si="143"/>
        <v>0.39609572179891905</v>
      </c>
      <c r="Q633" s="105">
        <f t="shared" si="144"/>
        <v>6.3903890627069444</v>
      </c>
      <c r="R633" s="105">
        <f t="shared" si="145"/>
        <v>-0.39467675348074222</v>
      </c>
      <c r="S633" s="104">
        <f t="shared" si="146"/>
        <v>1.3359604153932194E-2</v>
      </c>
      <c r="T633" s="104">
        <f t="shared" si="147"/>
        <v>5.0959139359116597E-5</v>
      </c>
      <c r="U633" s="104">
        <f t="shared" si="148"/>
        <v>-8.251023753831179E-4</v>
      </c>
      <c r="V633" s="103">
        <f t="shared" si="149"/>
        <v>0</v>
      </c>
      <c r="W633" s="103">
        <f t="shared" si="150"/>
        <v>0</v>
      </c>
      <c r="X633" s="103">
        <f t="shared" si="151"/>
        <v>0</v>
      </c>
      <c r="Z633" s="102">
        <f t="shared" si="136"/>
        <v>2.4535801744033895E-10</v>
      </c>
      <c r="AA633" s="102">
        <f t="shared" si="137"/>
        <v>3.2418522351005384E-7</v>
      </c>
    </row>
    <row r="634" spans="1:27" x14ac:dyDescent="0.25">
      <c r="A634" s="530"/>
      <c r="B634" s="96">
        <v>87</v>
      </c>
      <c r="C634" s="110">
        <v>0</v>
      </c>
      <c r="D634" s="110">
        <f t="shared" si="152"/>
        <v>2760.7739999999999</v>
      </c>
      <c r="E634" s="109">
        <f t="shared" si="138"/>
        <v>0</v>
      </c>
      <c r="F634" s="108">
        <f t="shared" si="130"/>
        <v>10.672975829833767</v>
      </c>
      <c r="G634" s="108">
        <f t="shared" si="131"/>
        <v>0</v>
      </c>
      <c r="H634" s="107">
        <f t="shared" si="132"/>
        <v>1.1194431068582139E-4</v>
      </c>
      <c r="I634" s="106">
        <f t="shared" si="139"/>
        <v>0</v>
      </c>
      <c r="J634" s="104">
        <f t="shared" si="140"/>
        <v>0</v>
      </c>
      <c r="K634" s="104">
        <f t="shared" si="141"/>
        <v>0</v>
      </c>
      <c r="L634" s="102">
        <f t="shared" si="133"/>
        <v>1.5860481220429527E-10</v>
      </c>
      <c r="M634" s="104">
        <f t="shared" si="134"/>
        <v>6.5365779196387024E-9</v>
      </c>
      <c r="N634" s="104">
        <f t="shared" si="135"/>
        <v>-9.7865206336875074E-10</v>
      </c>
      <c r="O634" s="104">
        <f t="shared" si="142"/>
        <v>4.2095632813437938</v>
      </c>
      <c r="P634" s="104">
        <f t="shared" si="143"/>
        <v>0.39609572179891905</v>
      </c>
      <c r="Q634" s="105">
        <f t="shared" si="144"/>
        <v>6.4634125484899734</v>
      </c>
      <c r="R634" s="105">
        <f t="shared" si="145"/>
        <v>-0.39609572179891905</v>
      </c>
      <c r="S634" s="104">
        <f t="shared" si="146"/>
        <v>4.6765521382804856E-3</v>
      </c>
      <c r="T634" s="104">
        <f t="shared" si="147"/>
        <v>1.7563146734767438E-5</v>
      </c>
      <c r="U634" s="104">
        <f t="shared" si="148"/>
        <v>-2.8659199468479676E-4</v>
      </c>
      <c r="V634" s="103">
        <f t="shared" si="149"/>
        <v>0</v>
      </c>
      <c r="W634" s="103">
        <f t="shared" si="150"/>
        <v>0</v>
      </c>
      <c r="X634" s="103">
        <f t="shared" si="151"/>
        <v>0</v>
      </c>
      <c r="Z634" s="102">
        <f t="shared" si="136"/>
        <v>8.3958233014366041E-11</v>
      </c>
      <c r="AA634" s="102">
        <f t="shared" si="137"/>
        <v>1.2989197607340973E-8</v>
      </c>
    </row>
    <row r="635" spans="1:27" x14ac:dyDescent="0.25">
      <c r="A635" s="530"/>
      <c r="B635" s="96">
        <v>88</v>
      </c>
      <c r="C635" s="110">
        <v>0</v>
      </c>
      <c r="D635" s="110">
        <f t="shared" si="152"/>
        <v>2760.7739999999999</v>
      </c>
      <c r="E635" s="109">
        <f t="shared" si="138"/>
        <v>0</v>
      </c>
      <c r="F635" s="108"/>
      <c r="G635" s="108"/>
      <c r="H635" s="107"/>
      <c r="I635" s="106">
        <f t="shared" si="139"/>
        <v>0</v>
      </c>
      <c r="J635" s="104">
        <f t="shared" si="140"/>
        <v>0</v>
      </c>
      <c r="K635" s="104">
        <f t="shared" si="141"/>
        <v>0</v>
      </c>
      <c r="L635" s="102"/>
      <c r="M635" s="104"/>
      <c r="N635" s="104">
        <v>0</v>
      </c>
      <c r="O635" s="104">
        <f t="shared" si="142"/>
        <v>4.2095632813437938</v>
      </c>
      <c r="P635" s="104">
        <f t="shared" si="143"/>
        <v>0.39609572179891905</v>
      </c>
      <c r="Q635" s="105">
        <f t="shared" si="144"/>
        <v>-4.2095632813437938</v>
      </c>
      <c r="R635" s="105">
        <f t="shared" si="145"/>
        <v>-0.39609572179891905</v>
      </c>
      <c r="S635" s="104">
        <f t="shared" si="146"/>
        <v>0</v>
      </c>
      <c r="T635" s="104">
        <f t="shared" si="147"/>
        <v>0</v>
      </c>
      <c r="U635" s="104">
        <f t="shared" si="148"/>
        <v>0</v>
      </c>
      <c r="V635" s="103">
        <f t="shared" si="149"/>
        <v>0</v>
      </c>
      <c r="W635" s="103">
        <f t="shared" si="150"/>
        <v>0</v>
      </c>
      <c r="X635" s="103">
        <f t="shared" si="151"/>
        <v>0</v>
      </c>
      <c r="Z635" s="102"/>
      <c r="AA635" s="102"/>
    </row>
    <row r="636" spans="1:27" x14ac:dyDescent="0.25">
      <c r="A636" s="530"/>
      <c r="B636" s="96">
        <v>89</v>
      </c>
      <c r="C636" s="110">
        <v>0</v>
      </c>
      <c r="D636" s="110">
        <f t="shared" si="152"/>
        <v>2760.7739999999999</v>
      </c>
      <c r="E636" s="109">
        <f t="shared" si="138"/>
        <v>0</v>
      </c>
      <c r="F636" s="108"/>
      <c r="G636" s="108"/>
      <c r="H636" s="107"/>
      <c r="I636" s="106">
        <f t="shared" si="139"/>
        <v>0</v>
      </c>
      <c r="J636" s="104">
        <f t="shared" si="140"/>
        <v>0</v>
      </c>
      <c r="K636" s="104">
        <f t="shared" si="141"/>
        <v>0</v>
      </c>
      <c r="L636" s="104"/>
      <c r="M636" s="104"/>
      <c r="N636" s="104">
        <v>0</v>
      </c>
      <c r="O636" s="104">
        <f t="shared" si="142"/>
        <v>4.2095632813437938</v>
      </c>
      <c r="P636" s="104">
        <f t="shared" si="143"/>
        <v>0.39609572179891905</v>
      </c>
      <c r="Q636" s="105">
        <f t="shared" si="144"/>
        <v>-4.2095632813437938</v>
      </c>
      <c r="R636" s="105">
        <f t="shared" si="145"/>
        <v>-0.39609572179891905</v>
      </c>
      <c r="S636" s="104">
        <f t="shared" si="146"/>
        <v>0</v>
      </c>
      <c r="T636" s="104">
        <f t="shared" si="147"/>
        <v>0</v>
      </c>
      <c r="U636" s="104">
        <f t="shared" si="148"/>
        <v>0</v>
      </c>
      <c r="V636" s="103">
        <f t="shared" si="149"/>
        <v>0</v>
      </c>
      <c r="W636" s="103">
        <f t="shared" si="150"/>
        <v>0</v>
      </c>
      <c r="X636" s="103">
        <f t="shared" si="151"/>
        <v>0</v>
      </c>
      <c r="Z636" s="102"/>
      <c r="AA636" s="102"/>
    </row>
    <row r="637" spans="1:27" x14ac:dyDescent="0.25">
      <c r="A637" s="530"/>
      <c r="B637" s="96">
        <v>90</v>
      </c>
      <c r="C637" s="110">
        <v>0</v>
      </c>
      <c r="D637" s="110">
        <f t="shared" si="152"/>
        <v>2760.7739999999999</v>
      </c>
      <c r="E637" s="109">
        <f t="shared" si="138"/>
        <v>0</v>
      </c>
      <c r="F637" s="108"/>
      <c r="G637" s="108"/>
      <c r="H637" s="107"/>
      <c r="I637" s="106">
        <f t="shared" si="139"/>
        <v>0</v>
      </c>
      <c r="J637" s="104">
        <f t="shared" si="140"/>
        <v>0</v>
      </c>
      <c r="K637" s="104">
        <f t="shared" si="141"/>
        <v>0</v>
      </c>
      <c r="L637" s="104"/>
      <c r="M637" s="104"/>
      <c r="N637" s="104">
        <v>0</v>
      </c>
      <c r="O637" s="104">
        <f t="shared" si="142"/>
        <v>4.2095632813437938</v>
      </c>
      <c r="P637" s="104">
        <f t="shared" si="143"/>
        <v>0.39609572179891905</v>
      </c>
      <c r="Q637" s="105">
        <f t="shared" si="144"/>
        <v>-4.2095632813437938</v>
      </c>
      <c r="R637" s="105">
        <f t="shared" si="145"/>
        <v>-0.39609572179891905</v>
      </c>
      <c r="S637" s="104">
        <f t="shared" si="146"/>
        <v>0</v>
      </c>
      <c r="T637" s="104">
        <f t="shared" si="147"/>
        <v>0</v>
      </c>
      <c r="U637" s="104">
        <f t="shared" si="148"/>
        <v>0</v>
      </c>
      <c r="V637" s="103">
        <f t="shared" si="149"/>
        <v>0</v>
      </c>
      <c r="W637" s="103">
        <f t="shared" si="150"/>
        <v>0</v>
      </c>
      <c r="X637" s="103">
        <f t="shared" si="151"/>
        <v>0</v>
      </c>
      <c r="Z637" s="102"/>
      <c r="AA637" s="102"/>
    </row>
    <row r="638" spans="1:27" x14ac:dyDescent="0.25">
      <c r="A638" s="530"/>
      <c r="B638" s="96">
        <v>91</v>
      </c>
      <c r="C638" s="110">
        <v>0</v>
      </c>
      <c r="D638" s="110">
        <f t="shared" si="152"/>
        <v>2760.7739999999999</v>
      </c>
      <c r="E638" s="109">
        <f t="shared" si="138"/>
        <v>0</v>
      </c>
      <c r="F638" s="108"/>
      <c r="G638" s="108"/>
      <c r="H638" s="107"/>
      <c r="I638" s="106">
        <f t="shared" si="139"/>
        <v>0</v>
      </c>
      <c r="J638" s="104">
        <f t="shared" si="140"/>
        <v>0</v>
      </c>
      <c r="K638" s="104">
        <f t="shared" si="141"/>
        <v>0</v>
      </c>
      <c r="L638" s="104"/>
      <c r="M638" s="104"/>
      <c r="N638" s="104">
        <v>0</v>
      </c>
      <c r="O638" s="104">
        <f t="shared" si="142"/>
        <v>4.2095632813437938</v>
      </c>
      <c r="P638" s="104">
        <f t="shared" si="143"/>
        <v>0.39609572179891905</v>
      </c>
      <c r="Q638" s="105">
        <f t="shared" si="144"/>
        <v>-4.2095632813437938</v>
      </c>
      <c r="R638" s="105">
        <f t="shared" si="145"/>
        <v>-0.39609572179891905</v>
      </c>
      <c r="S638" s="104">
        <f t="shared" si="146"/>
        <v>0</v>
      </c>
      <c r="T638" s="104">
        <f t="shared" si="147"/>
        <v>0</v>
      </c>
      <c r="U638" s="104">
        <f t="shared" si="148"/>
        <v>0</v>
      </c>
      <c r="V638" s="103">
        <f t="shared" si="149"/>
        <v>0</v>
      </c>
      <c r="W638" s="103">
        <f t="shared" si="150"/>
        <v>0</v>
      </c>
      <c r="X638" s="103">
        <f t="shared" si="151"/>
        <v>0</v>
      </c>
      <c r="Z638" s="102"/>
      <c r="AA638" s="102"/>
    </row>
    <row r="639" spans="1:27" x14ac:dyDescent="0.25">
      <c r="A639" s="530"/>
      <c r="B639" s="96">
        <v>92</v>
      </c>
      <c r="C639" s="110">
        <v>0</v>
      </c>
      <c r="D639" s="110">
        <f t="shared" si="152"/>
        <v>2760.7739999999999</v>
      </c>
      <c r="E639" s="109">
        <f t="shared" si="138"/>
        <v>0</v>
      </c>
      <c r="F639" s="108"/>
      <c r="G639" s="108"/>
      <c r="H639" s="107"/>
      <c r="I639" s="106">
        <f t="shared" si="139"/>
        <v>0</v>
      </c>
      <c r="J639" s="104">
        <f t="shared" si="140"/>
        <v>0</v>
      </c>
      <c r="K639" s="104">
        <f t="shared" si="141"/>
        <v>0</v>
      </c>
      <c r="L639" s="104"/>
      <c r="M639" s="104"/>
      <c r="N639" s="104">
        <v>0</v>
      </c>
      <c r="O639" s="104">
        <f t="shared" si="142"/>
        <v>4.2095632813437938</v>
      </c>
      <c r="P639" s="104">
        <f t="shared" si="143"/>
        <v>0.39609572179891905</v>
      </c>
      <c r="Q639" s="105">
        <f t="shared" si="144"/>
        <v>-4.2095632813437938</v>
      </c>
      <c r="R639" s="105">
        <f t="shared" si="145"/>
        <v>-0.39609572179891905</v>
      </c>
      <c r="S639" s="104">
        <f t="shared" si="146"/>
        <v>0</v>
      </c>
      <c r="T639" s="104">
        <f t="shared" si="147"/>
        <v>0</v>
      </c>
      <c r="U639" s="104">
        <f t="shared" si="148"/>
        <v>0</v>
      </c>
      <c r="V639" s="103">
        <f t="shared" si="149"/>
        <v>0</v>
      </c>
      <c r="W639" s="103">
        <f t="shared" si="150"/>
        <v>0</v>
      </c>
      <c r="X639" s="103">
        <f t="shared" si="151"/>
        <v>0</v>
      </c>
      <c r="Z639" s="102"/>
      <c r="AA639" s="102"/>
    </row>
    <row r="640" spans="1:27" x14ac:dyDescent="0.25">
      <c r="A640" s="530"/>
      <c r="B640" s="96">
        <v>93</v>
      </c>
      <c r="C640" s="110">
        <v>0</v>
      </c>
      <c r="D640" s="110">
        <f t="shared" si="152"/>
        <v>2760.7739999999999</v>
      </c>
      <c r="E640" s="109">
        <f t="shared" si="138"/>
        <v>0</v>
      </c>
      <c r="F640" s="108"/>
      <c r="G640" s="108"/>
      <c r="H640" s="107"/>
      <c r="I640" s="106">
        <f t="shared" si="139"/>
        <v>0</v>
      </c>
      <c r="J640" s="104">
        <f t="shared" si="140"/>
        <v>0</v>
      </c>
      <c r="K640" s="104">
        <f t="shared" si="141"/>
        <v>0</v>
      </c>
      <c r="L640" s="104"/>
      <c r="M640" s="104"/>
      <c r="N640" s="104">
        <v>0</v>
      </c>
      <c r="O640" s="104">
        <f t="shared" si="142"/>
        <v>4.2095632813437938</v>
      </c>
      <c r="P640" s="104">
        <f t="shared" si="143"/>
        <v>0.39609572179891905</v>
      </c>
      <c r="Q640" s="105">
        <f t="shared" si="144"/>
        <v>-4.2095632813437938</v>
      </c>
      <c r="R640" s="105">
        <f t="shared" si="145"/>
        <v>-0.39609572179891905</v>
      </c>
      <c r="S640" s="104">
        <f t="shared" si="146"/>
        <v>0</v>
      </c>
      <c r="T640" s="104">
        <f t="shared" si="147"/>
        <v>0</v>
      </c>
      <c r="U640" s="104">
        <f t="shared" si="148"/>
        <v>0</v>
      </c>
      <c r="V640" s="103">
        <f t="shared" si="149"/>
        <v>0</v>
      </c>
      <c r="W640" s="103">
        <f t="shared" si="150"/>
        <v>0</v>
      </c>
      <c r="X640" s="103">
        <f t="shared" si="151"/>
        <v>0</v>
      </c>
      <c r="Z640" s="102"/>
      <c r="AA640" s="102"/>
    </row>
    <row r="641" spans="1:27" x14ac:dyDescent="0.25">
      <c r="A641" s="530"/>
      <c r="B641" s="96">
        <v>94</v>
      </c>
      <c r="C641" s="110">
        <v>0</v>
      </c>
      <c r="D641" s="110">
        <f t="shared" si="152"/>
        <v>2760.7739999999999</v>
      </c>
      <c r="E641" s="109">
        <f t="shared" si="138"/>
        <v>0</v>
      </c>
      <c r="F641" s="108"/>
      <c r="G641" s="108"/>
      <c r="H641" s="107"/>
      <c r="I641" s="106">
        <f t="shared" si="139"/>
        <v>0</v>
      </c>
      <c r="J641" s="104">
        <f t="shared" si="140"/>
        <v>0</v>
      </c>
      <c r="K641" s="104">
        <f t="shared" si="141"/>
        <v>0</v>
      </c>
      <c r="L641" s="104"/>
      <c r="M641" s="104"/>
      <c r="N641" s="104">
        <v>0</v>
      </c>
      <c r="O641" s="104">
        <f t="shared" si="142"/>
        <v>4.2095632813437938</v>
      </c>
      <c r="P641" s="104">
        <f t="shared" si="143"/>
        <v>0.39609572179891905</v>
      </c>
      <c r="Q641" s="105">
        <f t="shared" si="144"/>
        <v>-4.2095632813437938</v>
      </c>
      <c r="R641" s="105">
        <f t="shared" si="145"/>
        <v>-0.39609572179891905</v>
      </c>
      <c r="S641" s="104">
        <f t="shared" si="146"/>
        <v>0</v>
      </c>
      <c r="T641" s="104">
        <f t="shared" si="147"/>
        <v>0</v>
      </c>
      <c r="U641" s="104">
        <f t="shared" si="148"/>
        <v>0</v>
      </c>
      <c r="V641" s="103">
        <f t="shared" si="149"/>
        <v>0</v>
      </c>
      <c r="W641" s="103">
        <f t="shared" si="150"/>
        <v>0</v>
      </c>
      <c r="X641" s="103">
        <f t="shared" si="151"/>
        <v>0</v>
      </c>
      <c r="Z641" s="102"/>
      <c r="AA641" s="102"/>
    </row>
    <row r="642" spans="1:27" x14ac:dyDescent="0.25">
      <c r="A642" s="530"/>
      <c r="B642" s="96">
        <v>95</v>
      </c>
      <c r="C642" s="110">
        <v>0</v>
      </c>
      <c r="D642" s="110">
        <f t="shared" si="152"/>
        <v>2760.7739999999999</v>
      </c>
      <c r="E642" s="109">
        <f t="shared" si="138"/>
        <v>0</v>
      </c>
      <c r="F642" s="108"/>
      <c r="G642" s="108"/>
      <c r="H642" s="107"/>
      <c r="I642" s="106">
        <f t="shared" si="139"/>
        <v>0</v>
      </c>
      <c r="J642" s="104">
        <f t="shared" si="140"/>
        <v>0</v>
      </c>
      <c r="K642" s="104">
        <f t="shared" si="141"/>
        <v>0</v>
      </c>
      <c r="L642" s="104"/>
      <c r="M642" s="104"/>
      <c r="N642" s="104">
        <v>0</v>
      </c>
      <c r="O642" s="104">
        <f t="shared" si="142"/>
        <v>4.2095632813437938</v>
      </c>
      <c r="P642" s="104">
        <f t="shared" si="143"/>
        <v>0.39609572179891905</v>
      </c>
      <c r="Q642" s="105">
        <f t="shared" si="144"/>
        <v>-4.2095632813437938</v>
      </c>
      <c r="R642" s="105">
        <f t="shared" si="145"/>
        <v>-0.39609572179891905</v>
      </c>
      <c r="S642" s="104">
        <f t="shared" si="146"/>
        <v>0</v>
      </c>
      <c r="T642" s="104">
        <f t="shared" si="147"/>
        <v>0</v>
      </c>
      <c r="U642" s="104">
        <f t="shared" si="148"/>
        <v>0</v>
      </c>
      <c r="V642" s="103">
        <f t="shared" si="149"/>
        <v>0</v>
      </c>
      <c r="W642" s="103">
        <f t="shared" si="150"/>
        <v>0</v>
      </c>
      <c r="X642" s="103">
        <f t="shared" si="151"/>
        <v>0</v>
      </c>
      <c r="Z642" s="102"/>
      <c r="AA642" s="102"/>
    </row>
    <row r="643" spans="1:27" x14ac:dyDescent="0.25">
      <c r="B643" s="92"/>
      <c r="C643" s="101"/>
      <c r="D643" s="101"/>
      <c r="E643" s="101"/>
      <c r="F643" s="101"/>
      <c r="G643" s="101"/>
      <c r="H643" s="101"/>
      <c r="I643" s="100"/>
      <c r="J643" s="99"/>
      <c r="K643" s="99"/>
      <c r="L643" s="98"/>
      <c r="M643" s="98"/>
      <c r="N643" s="98"/>
      <c r="O643" s="98"/>
      <c r="P643" s="98"/>
      <c r="Q643" s="98"/>
      <c r="R643" s="98"/>
      <c r="S643" s="98"/>
      <c r="T643" s="98"/>
      <c r="U643" s="98"/>
      <c r="V643" s="97"/>
      <c r="W643" s="97"/>
      <c r="X643" s="97"/>
    </row>
    <row r="644" spans="1:27" x14ac:dyDescent="0.25">
      <c r="B644" s="92"/>
      <c r="C644" s="101"/>
      <c r="D644" s="101"/>
      <c r="E644" s="101"/>
      <c r="F644" s="101"/>
      <c r="G644" s="101"/>
      <c r="H644" s="100"/>
      <c r="I644" s="100"/>
      <c r="J644" s="99"/>
      <c r="K644" s="99"/>
      <c r="L644" s="98"/>
      <c r="M644" s="98"/>
      <c r="N644" s="98"/>
      <c r="O644" s="98"/>
      <c r="P644" s="98"/>
      <c r="Q644" s="98"/>
      <c r="R644" s="98"/>
      <c r="S644" s="98"/>
      <c r="T644" s="98"/>
      <c r="U644" s="98"/>
      <c r="V644" s="97"/>
      <c r="W644" s="97"/>
      <c r="X644" s="97"/>
    </row>
    <row r="645" spans="1:27" x14ac:dyDescent="0.25">
      <c r="B645" s="95" t="s">
        <v>1874</v>
      </c>
      <c r="C645" s="92"/>
      <c r="D645" s="92"/>
      <c r="E645" s="92"/>
      <c r="F645" s="92"/>
      <c r="G645" s="92"/>
      <c r="H645" s="96"/>
      <c r="I645" s="94">
        <f>SUM(I548:I644)</f>
        <v>448.71366519415784</v>
      </c>
      <c r="J645" s="94">
        <f>SUM(J548:J644)</f>
        <v>1888.8885688385194</v>
      </c>
      <c r="K645" s="94">
        <f>SUM(K548:K644)</f>
        <v>177.73356309611844</v>
      </c>
      <c r="L645" s="92"/>
      <c r="M645" s="92"/>
      <c r="N645" s="92" t="s">
        <v>2064</v>
      </c>
      <c r="O645" s="92"/>
      <c r="P645" s="92" t="s">
        <v>2065</v>
      </c>
      <c r="Q645" s="92"/>
      <c r="R645" s="92"/>
      <c r="S645" s="92"/>
      <c r="T645" s="92"/>
      <c r="U645" s="95" t="s">
        <v>1874</v>
      </c>
      <c r="V645" s="94">
        <f>SUM(V548:V644)</f>
        <v>3.7921230461294892</v>
      </c>
      <c r="W645" s="94">
        <f>SUM(W548:W644)</f>
        <v>1028.3092196638152</v>
      </c>
      <c r="X645" s="93">
        <f>SUM(X548:X644)</f>
        <v>-0.71610141675027228</v>
      </c>
    </row>
    <row r="646" spans="1:27" x14ac:dyDescent="0.25">
      <c r="B646" s="92"/>
      <c r="C646" s="92"/>
      <c r="D646" s="92"/>
      <c r="E646" s="92"/>
      <c r="F646" s="92"/>
      <c r="G646" s="92"/>
      <c r="H646" s="92"/>
      <c r="I646" s="92"/>
      <c r="J646" s="92"/>
      <c r="K646" s="92"/>
      <c r="L646" s="92"/>
      <c r="M646" s="92"/>
      <c r="N646" s="92">
        <v>3.0000000000000001E-3</v>
      </c>
      <c r="O646" s="92"/>
      <c r="P646" s="92">
        <v>3.0000000000000001E-3</v>
      </c>
      <c r="Q646" s="92"/>
      <c r="R646" s="92"/>
      <c r="S646" s="92"/>
      <c r="T646" s="92"/>
      <c r="U646" s="92"/>
      <c r="V646" s="85" t="s">
        <v>1873</v>
      </c>
      <c r="W646" s="85" t="s">
        <v>1872</v>
      </c>
      <c r="X646" s="85" t="s">
        <v>1871</v>
      </c>
    </row>
    <row r="647" spans="1:27" x14ac:dyDescent="0.25">
      <c r="K647" s="89"/>
      <c r="L647" s="89"/>
      <c r="N647" s="91"/>
    </row>
    <row r="648" spans="1:27" x14ac:dyDescent="0.25">
      <c r="B648" s="521" t="s">
        <v>1870</v>
      </c>
      <c r="C648" s="521"/>
      <c r="D648" s="521"/>
      <c r="E648" s="521"/>
      <c r="F648" s="521"/>
      <c r="G648" s="521"/>
      <c r="H648" s="84">
        <f>J645/I645</f>
        <v>4.2095632813437938</v>
      </c>
      <c r="I648" s="84"/>
      <c r="J648" s="84"/>
      <c r="K648" s="235"/>
      <c r="L648" s="235"/>
      <c r="U648" s="85" t="s">
        <v>1869</v>
      </c>
      <c r="V648" s="90">
        <f>W645*V645-(X645^2)</f>
        <v>3898.9622891955128</v>
      </c>
    </row>
    <row r="649" spans="1:27" x14ac:dyDescent="0.25">
      <c r="K649" s="89"/>
      <c r="L649" s="89"/>
    </row>
    <row r="650" spans="1:27" x14ac:dyDescent="0.25">
      <c r="B650" s="521" t="s">
        <v>1868</v>
      </c>
      <c r="C650" s="521"/>
      <c r="D650" s="521"/>
      <c r="E650" s="521"/>
      <c r="F650" s="521"/>
      <c r="G650" s="521"/>
      <c r="H650" s="84">
        <f>K645/I645</f>
        <v>0.39609572179891905</v>
      </c>
      <c r="I650" s="84"/>
      <c r="J650" s="84"/>
      <c r="K650" s="235"/>
      <c r="L650" s="235"/>
      <c r="U650" s="85" t="s">
        <v>1867</v>
      </c>
      <c r="V650">
        <f>W645/(D566*V648)</f>
        <v>9.5530893267686086E-5</v>
      </c>
    </row>
    <row r="651" spans="1:27" x14ac:dyDescent="0.25">
      <c r="K651" s="235"/>
      <c r="L651" s="89"/>
    </row>
    <row r="652" spans="1:27" x14ac:dyDescent="0.25">
      <c r="D652" s="85"/>
      <c r="E652" s="84"/>
      <c r="F652" s="84"/>
      <c r="O652" s="89"/>
      <c r="P652" s="89"/>
    </row>
    <row r="653" spans="1:27" x14ac:dyDescent="0.25">
      <c r="D653" s="85"/>
      <c r="E653" s="84"/>
      <c r="F653" s="84"/>
      <c r="K653" s="89"/>
      <c r="O653" s="236"/>
      <c r="P653" s="89"/>
    </row>
    <row r="654" spans="1:27" x14ac:dyDescent="0.25">
      <c r="D654" s="85"/>
      <c r="E654" s="88"/>
      <c r="F654" s="88"/>
      <c r="O654" s="235"/>
      <c r="P654" s="89"/>
    </row>
    <row r="655" spans="1:27" x14ac:dyDescent="0.25">
      <c r="D655" s="85"/>
      <c r="E655" s="84"/>
      <c r="F655" s="84"/>
      <c r="I655" s="87"/>
      <c r="O655" s="89"/>
      <c r="P655" s="89"/>
    </row>
    <row r="656" spans="1:27" x14ac:dyDescent="0.25">
      <c r="C656" t="s">
        <v>1866</v>
      </c>
      <c r="D656" s="86">
        <f>B659</f>
        <v>37.420527121609801</v>
      </c>
      <c r="E656" s="84"/>
      <c r="F656" s="84"/>
      <c r="L656" t="s">
        <v>1865</v>
      </c>
      <c r="O656" s="89"/>
      <c r="P656" s="89"/>
    </row>
    <row r="657" spans="1:18" x14ac:dyDescent="0.25">
      <c r="D657" s="85"/>
      <c r="E657" s="84"/>
      <c r="F657" s="84"/>
    </row>
    <row r="658" spans="1:18" x14ac:dyDescent="0.25">
      <c r="B658" t="s">
        <v>1837</v>
      </c>
      <c r="C658" t="s">
        <v>1838</v>
      </c>
      <c r="D658" t="s">
        <v>1864</v>
      </c>
      <c r="E658" t="s">
        <v>1863</v>
      </c>
      <c r="F658" t="s">
        <v>1862</v>
      </c>
      <c r="G658" t="s">
        <v>1861</v>
      </c>
      <c r="H658" t="s">
        <v>1860</v>
      </c>
      <c r="I658" t="s">
        <v>1859</v>
      </c>
      <c r="J658" t="s">
        <v>1858</v>
      </c>
      <c r="K658" t="s">
        <v>1857</v>
      </c>
      <c r="L658" t="s">
        <v>1856</v>
      </c>
    </row>
    <row r="659" spans="1:18" x14ac:dyDescent="0.25">
      <c r="A659">
        <v>1</v>
      </c>
      <c r="B659" s="73">
        <f t="shared" ref="B659:B680" si="153">$A$344</f>
        <v>37.420527121609801</v>
      </c>
      <c r="C659" s="72">
        <v>-0.1</v>
      </c>
      <c r="D659" s="72">
        <v>0</v>
      </c>
      <c r="E659" s="73">
        <f t="shared" ref="E659:E680" si="154">E548</f>
        <v>7063.236614079965</v>
      </c>
      <c r="F659" s="72">
        <f t="shared" ref="F659:F680" si="155">$W$645</f>
        <v>1028.3092196638152</v>
      </c>
      <c r="G659" s="72">
        <f t="shared" ref="G659:G680" si="156">$V$645</f>
        <v>3.7921230461294892</v>
      </c>
      <c r="H659" s="72">
        <f t="shared" ref="H659:H680" si="157">$V$648</f>
        <v>3898.9622891955128</v>
      </c>
      <c r="I659" s="72">
        <f t="shared" ref="I659:I680" si="158">$X$645</f>
        <v>-0.71610141675027228</v>
      </c>
      <c r="J659">
        <f t="shared" ref="J659:J680" si="159">-(C659*E659*(($E$344*F659)+($F$344*I659))/H659)+(D659*E659*($F$344*G659+($E$344*I659))/H659)</f>
        <v>-16578.31283832798</v>
      </c>
      <c r="K659">
        <f>(MAX(J659:J680)/BS127)*100</f>
        <v>314.08541480571637</v>
      </c>
      <c r="L659">
        <f>(MIN(J659:J680)/BS127)*100</f>
        <v>-313.64590953758398</v>
      </c>
    </row>
    <row r="660" spans="1:18" x14ac:dyDescent="0.25">
      <c r="A660">
        <v>2</v>
      </c>
      <c r="B660" s="73">
        <f t="shared" si="153"/>
        <v>37.420527121609801</v>
      </c>
      <c r="C660" s="72">
        <v>0.1</v>
      </c>
      <c r="D660" s="72">
        <v>0.1</v>
      </c>
      <c r="E660" s="73">
        <f t="shared" si="154"/>
        <v>7063.236614079965</v>
      </c>
      <c r="F660" s="72">
        <f t="shared" si="155"/>
        <v>1028.3092196638152</v>
      </c>
      <c r="G660" s="72">
        <f t="shared" si="156"/>
        <v>3.7921230461294892</v>
      </c>
      <c r="H660" s="72">
        <f t="shared" si="157"/>
        <v>3898.9622891955128</v>
      </c>
      <c r="I660" s="72">
        <f t="shared" si="158"/>
        <v>-0.71610141675027228</v>
      </c>
      <c r="J660">
        <f t="shared" si="159"/>
        <v>16601.543671594492</v>
      </c>
    </row>
    <row r="661" spans="1:18" x14ac:dyDescent="0.25">
      <c r="A661">
        <v>3</v>
      </c>
      <c r="B661" s="73">
        <f t="shared" si="153"/>
        <v>37.420527121609801</v>
      </c>
      <c r="C661" s="72">
        <f t="shared" ref="C661:C680" si="160">R550</f>
        <v>-0.39609572179891905</v>
      </c>
      <c r="D661" s="72">
        <f t="shared" ref="D661:D680" si="161">Q550</f>
        <v>-4.2095632813437938</v>
      </c>
      <c r="E661" s="73">
        <f t="shared" si="154"/>
        <v>0</v>
      </c>
      <c r="F661" s="72">
        <f t="shared" si="155"/>
        <v>1028.3092196638152</v>
      </c>
      <c r="G661" s="72">
        <f t="shared" si="156"/>
        <v>3.7921230461294892</v>
      </c>
      <c r="H661" s="72">
        <f t="shared" si="157"/>
        <v>3898.9622891955128</v>
      </c>
      <c r="I661" s="72">
        <f t="shared" si="158"/>
        <v>-0.71610141675027228</v>
      </c>
      <c r="J661">
        <f t="shared" si="159"/>
        <v>0</v>
      </c>
    </row>
    <row r="662" spans="1:18" x14ac:dyDescent="0.25">
      <c r="A662">
        <v>4</v>
      </c>
      <c r="B662" s="73">
        <f t="shared" si="153"/>
        <v>37.420527121609801</v>
      </c>
      <c r="C662" s="72">
        <f t="shared" si="160"/>
        <v>-0.39609572179891905</v>
      </c>
      <c r="D662" s="72">
        <f t="shared" si="161"/>
        <v>-4.2095632813437938</v>
      </c>
      <c r="E662" s="73">
        <f t="shared" si="154"/>
        <v>0</v>
      </c>
      <c r="F662" s="72">
        <f t="shared" si="155"/>
        <v>1028.3092196638152</v>
      </c>
      <c r="G662" s="72">
        <f t="shared" si="156"/>
        <v>3.7921230461294892</v>
      </c>
      <c r="H662" s="72">
        <f t="shared" si="157"/>
        <v>3898.9622891955128</v>
      </c>
      <c r="I662" s="72">
        <f t="shared" si="158"/>
        <v>-0.71610141675027228</v>
      </c>
      <c r="J662">
        <f t="shared" si="159"/>
        <v>0</v>
      </c>
    </row>
    <row r="663" spans="1:18" x14ac:dyDescent="0.25">
      <c r="A663">
        <v>5</v>
      </c>
      <c r="B663" s="73">
        <f t="shared" si="153"/>
        <v>37.420527121609801</v>
      </c>
      <c r="C663" s="72">
        <f t="shared" si="160"/>
        <v>-0.39609572179891905</v>
      </c>
      <c r="D663" s="72">
        <f t="shared" si="161"/>
        <v>-4.2095632813437938</v>
      </c>
      <c r="E663" s="73">
        <f t="shared" si="154"/>
        <v>0</v>
      </c>
      <c r="F663" s="72">
        <f t="shared" si="155"/>
        <v>1028.3092196638152</v>
      </c>
      <c r="G663" s="72">
        <f t="shared" si="156"/>
        <v>3.7921230461294892</v>
      </c>
      <c r="H663" s="72">
        <f t="shared" si="157"/>
        <v>3898.9622891955128</v>
      </c>
      <c r="I663" s="72">
        <f t="shared" si="158"/>
        <v>-0.71610141675027228</v>
      </c>
      <c r="J663">
        <f t="shared" si="159"/>
        <v>0</v>
      </c>
    </row>
    <row r="664" spans="1:18" ht="15.75" thickBot="1" x14ac:dyDescent="0.3">
      <c r="A664">
        <v>6</v>
      </c>
      <c r="B664" s="73">
        <f t="shared" si="153"/>
        <v>37.420527121609801</v>
      </c>
      <c r="C664" s="72">
        <f t="shared" si="160"/>
        <v>-0.39609572179891905</v>
      </c>
      <c r="D664" s="72">
        <f t="shared" si="161"/>
        <v>-4.2095632813437938</v>
      </c>
      <c r="E664" s="73">
        <f t="shared" si="154"/>
        <v>0</v>
      </c>
      <c r="F664" s="72">
        <f t="shared" si="155"/>
        <v>1028.3092196638152</v>
      </c>
      <c r="G664" s="72">
        <f t="shared" si="156"/>
        <v>3.7921230461294892</v>
      </c>
      <c r="H664" s="72">
        <f t="shared" si="157"/>
        <v>3898.9622891955128</v>
      </c>
      <c r="I664" s="72">
        <f t="shared" si="158"/>
        <v>-0.71610141675027228</v>
      </c>
      <c r="J664">
        <f t="shared" si="159"/>
        <v>0</v>
      </c>
      <c r="O664" t="s">
        <v>1855</v>
      </c>
    </row>
    <row r="665" spans="1:18" x14ac:dyDescent="0.25">
      <c r="A665">
        <v>7</v>
      </c>
      <c r="B665" s="73">
        <f t="shared" si="153"/>
        <v>37.420527121609801</v>
      </c>
      <c r="C665" s="72">
        <f t="shared" si="160"/>
        <v>-0.39609572179891905</v>
      </c>
      <c r="D665" s="72">
        <f t="shared" si="161"/>
        <v>-4.2095632813437938</v>
      </c>
      <c r="E665" s="73">
        <f t="shared" si="154"/>
        <v>0</v>
      </c>
      <c r="F665" s="72">
        <f t="shared" si="155"/>
        <v>1028.3092196638152</v>
      </c>
      <c r="G665" s="72">
        <f t="shared" si="156"/>
        <v>3.7921230461294892</v>
      </c>
      <c r="H665" s="72">
        <f t="shared" si="157"/>
        <v>3898.9622891955128</v>
      </c>
      <c r="I665" s="72">
        <f t="shared" si="158"/>
        <v>-0.71610141675027228</v>
      </c>
      <c r="J665">
        <f t="shared" si="159"/>
        <v>0</v>
      </c>
      <c r="O665" s="83" t="s">
        <v>1854</v>
      </c>
      <c r="P665" s="82">
        <f>-M667*SUM(H548:H549)</f>
        <v>1029.9796799320065</v>
      </c>
    </row>
    <row r="666" spans="1:18" x14ac:dyDescent="0.25">
      <c r="A666">
        <v>8</v>
      </c>
      <c r="B666" s="73">
        <f t="shared" si="153"/>
        <v>37.420527121609801</v>
      </c>
      <c r="C666" s="72">
        <f t="shared" si="160"/>
        <v>-0.39609572179891905</v>
      </c>
      <c r="D666" s="72">
        <f t="shared" si="161"/>
        <v>-4.2095632813437938</v>
      </c>
      <c r="E666" s="73">
        <f t="shared" si="154"/>
        <v>0</v>
      </c>
      <c r="F666" s="72">
        <f t="shared" si="155"/>
        <v>1028.3092196638152</v>
      </c>
      <c r="G666" s="72">
        <f t="shared" si="156"/>
        <v>3.7921230461294892</v>
      </c>
      <c r="H666" s="72">
        <f t="shared" si="157"/>
        <v>3898.9622891955128</v>
      </c>
      <c r="I666" s="72">
        <f t="shared" si="158"/>
        <v>-0.71610141675027228</v>
      </c>
      <c r="J666">
        <f t="shared" si="159"/>
        <v>0</v>
      </c>
      <c r="L666" t="s">
        <v>1853</v>
      </c>
      <c r="M666" t="s">
        <v>1852</v>
      </c>
      <c r="O666" s="77" t="s">
        <v>1851</v>
      </c>
      <c r="P666" s="81">
        <f>SUM(M548:M549)</f>
        <v>3.4745160235501339E-4</v>
      </c>
    </row>
    <row r="667" spans="1:18" x14ac:dyDescent="0.25">
      <c r="A667">
        <v>9</v>
      </c>
      <c r="B667" s="73">
        <f t="shared" si="153"/>
        <v>37.420527121609801</v>
      </c>
      <c r="C667" s="72">
        <f t="shared" si="160"/>
        <v>-0.39609572179891905</v>
      </c>
      <c r="D667" s="72">
        <f t="shared" si="161"/>
        <v>-4.2095632813437938</v>
      </c>
      <c r="E667" s="73">
        <f t="shared" si="154"/>
        <v>0</v>
      </c>
      <c r="F667" s="72">
        <f t="shared" si="155"/>
        <v>1028.3092196638152</v>
      </c>
      <c r="G667" s="72">
        <f t="shared" si="156"/>
        <v>3.7921230461294892</v>
      </c>
      <c r="H667" s="72">
        <f t="shared" si="157"/>
        <v>3898.9622891955128</v>
      </c>
      <c r="I667" s="72">
        <f t="shared" si="158"/>
        <v>-0.71610141675027228</v>
      </c>
      <c r="J667">
        <f t="shared" si="159"/>
        <v>0</v>
      </c>
      <c r="L667" s="80">
        <f>MAX(J659:J679)</f>
        <v>16601.543671594492</v>
      </c>
      <c r="M667">
        <f>MIN(J659:J679)</f>
        <v>-16578.31283832798</v>
      </c>
      <c r="O667" s="77" t="s">
        <v>1850</v>
      </c>
      <c r="P667" s="79">
        <f>((PI()^2)*C548*P666/(4*P665))^(1/2)</f>
        <v>4.0287471729318227</v>
      </c>
      <c r="Q667" s="78"/>
      <c r="R667">
        <f>SQRT((PI()^2)*C548*D406/(4*ABS(B406)))</f>
        <v>3.5746217006140593</v>
      </c>
    </row>
    <row r="668" spans="1:18" x14ac:dyDescent="0.25">
      <c r="A668">
        <v>10</v>
      </c>
      <c r="B668" s="73">
        <f t="shared" si="153"/>
        <v>37.420527121609801</v>
      </c>
      <c r="C668" s="72">
        <f t="shared" si="160"/>
        <v>-0.39609572179891905</v>
      </c>
      <c r="D668" s="72">
        <f t="shared" si="161"/>
        <v>-4.2095632813437938</v>
      </c>
      <c r="E668" s="73">
        <f t="shared" si="154"/>
        <v>0</v>
      </c>
      <c r="F668" s="72">
        <f t="shared" si="155"/>
        <v>1028.3092196638152</v>
      </c>
      <c r="G668" s="72">
        <f t="shared" si="156"/>
        <v>3.7921230461294892</v>
      </c>
      <c r="H668" s="72">
        <f t="shared" si="157"/>
        <v>3898.9622891955128</v>
      </c>
      <c r="I668" s="72">
        <f t="shared" si="158"/>
        <v>-0.71610141675027228</v>
      </c>
      <c r="J668">
        <f t="shared" si="159"/>
        <v>0</v>
      </c>
      <c r="O668" s="77" t="s">
        <v>1849</v>
      </c>
      <c r="P668" s="76">
        <f>C110/(P667*2)</f>
        <v>9.2883781273318089</v>
      </c>
    </row>
    <row r="669" spans="1:18" ht="15.75" thickBot="1" x14ac:dyDescent="0.3">
      <c r="A669">
        <v>11</v>
      </c>
      <c r="B669" s="73">
        <f t="shared" si="153"/>
        <v>37.420527121609801</v>
      </c>
      <c r="C669" s="72">
        <f t="shared" si="160"/>
        <v>-0.39609572179891905</v>
      </c>
      <c r="D669" s="72">
        <f t="shared" si="161"/>
        <v>-4.2095632813437938</v>
      </c>
      <c r="E669" s="73">
        <f t="shared" si="154"/>
        <v>0</v>
      </c>
      <c r="F669" s="72">
        <f t="shared" si="155"/>
        <v>1028.3092196638152</v>
      </c>
      <c r="G669" s="72">
        <f t="shared" si="156"/>
        <v>3.7921230461294892</v>
      </c>
      <c r="H669" s="72">
        <f t="shared" si="157"/>
        <v>3898.9622891955128</v>
      </c>
      <c r="I669" s="72">
        <f t="shared" si="158"/>
        <v>-0.71610141675027228</v>
      </c>
      <c r="J669">
        <f t="shared" si="159"/>
        <v>0</v>
      </c>
      <c r="O669" s="75" t="s">
        <v>1848</v>
      </c>
      <c r="P669" s="74">
        <f>ROUNDUP(P668,0)</f>
        <v>10</v>
      </c>
    </row>
    <row r="670" spans="1:18" x14ac:dyDescent="0.25">
      <c r="A670">
        <v>12</v>
      </c>
      <c r="B670" s="73">
        <f t="shared" si="153"/>
        <v>37.420527121609801</v>
      </c>
      <c r="C670" s="72">
        <f t="shared" si="160"/>
        <v>-0.39609572179891905</v>
      </c>
      <c r="D670" s="72">
        <f t="shared" si="161"/>
        <v>-4.2095632813437938</v>
      </c>
      <c r="E670" s="73">
        <f t="shared" si="154"/>
        <v>0</v>
      </c>
      <c r="F670" s="72">
        <f t="shared" si="155"/>
        <v>1028.3092196638152</v>
      </c>
      <c r="G670" s="72">
        <f t="shared" si="156"/>
        <v>3.7921230461294892</v>
      </c>
      <c r="H670" s="72">
        <f t="shared" si="157"/>
        <v>3898.9622891955128</v>
      </c>
      <c r="I670" s="72">
        <f t="shared" si="158"/>
        <v>-0.71610141675027228</v>
      </c>
      <c r="J670">
        <f t="shared" si="159"/>
        <v>0</v>
      </c>
    </row>
    <row r="671" spans="1:18" x14ac:dyDescent="0.25">
      <c r="A671">
        <v>13</v>
      </c>
      <c r="B671" s="73">
        <f t="shared" si="153"/>
        <v>37.420527121609801</v>
      </c>
      <c r="C671" s="72">
        <f t="shared" si="160"/>
        <v>-0.39609572179891905</v>
      </c>
      <c r="D671" s="72">
        <f t="shared" si="161"/>
        <v>-4.2095632813437938</v>
      </c>
      <c r="E671" s="73">
        <f t="shared" si="154"/>
        <v>0</v>
      </c>
      <c r="F671" s="72">
        <f t="shared" si="155"/>
        <v>1028.3092196638152</v>
      </c>
      <c r="G671" s="72">
        <f t="shared" si="156"/>
        <v>3.7921230461294892</v>
      </c>
      <c r="H671" s="72">
        <f t="shared" si="157"/>
        <v>3898.9622891955128</v>
      </c>
      <c r="I671" s="72">
        <f t="shared" si="158"/>
        <v>-0.71610141675027228</v>
      </c>
      <c r="J671">
        <f t="shared" si="159"/>
        <v>0</v>
      </c>
    </row>
    <row r="672" spans="1:18" x14ac:dyDescent="0.25">
      <c r="A672">
        <v>14</v>
      </c>
      <c r="B672" s="73">
        <f t="shared" si="153"/>
        <v>37.420527121609801</v>
      </c>
      <c r="C672" s="72">
        <f t="shared" si="160"/>
        <v>-0.39609572179891905</v>
      </c>
      <c r="D672" s="72">
        <f t="shared" si="161"/>
        <v>-4.2095632813437938</v>
      </c>
      <c r="E672" s="73">
        <f t="shared" si="154"/>
        <v>0</v>
      </c>
      <c r="F672" s="72">
        <f t="shared" si="155"/>
        <v>1028.3092196638152</v>
      </c>
      <c r="G672" s="72">
        <f t="shared" si="156"/>
        <v>3.7921230461294892</v>
      </c>
      <c r="H672" s="72">
        <f t="shared" si="157"/>
        <v>3898.9622891955128</v>
      </c>
      <c r="I672" s="72">
        <f t="shared" si="158"/>
        <v>-0.71610141675027228</v>
      </c>
      <c r="J672">
        <f t="shared" si="159"/>
        <v>0</v>
      </c>
    </row>
    <row r="673" spans="1:10" x14ac:dyDescent="0.25">
      <c r="A673">
        <v>15</v>
      </c>
      <c r="B673" s="73">
        <f t="shared" si="153"/>
        <v>37.420527121609801</v>
      </c>
      <c r="C673" s="72">
        <f t="shared" si="160"/>
        <v>-0.39609572179891905</v>
      </c>
      <c r="D673" s="72">
        <f t="shared" si="161"/>
        <v>-4.2095632813437938</v>
      </c>
      <c r="E673" s="73">
        <f t="shared" si="154"/>
        <v>0</v>
      </c>
      <c r="F673" s="72">
        <f t="shared" si="155"/>
        <v>1028.3092196638152</v>
      </c>
      <c r="G673" s="72">
        <f t="shared" si="156"/>
        <v>3.7921230461294892</v>
      </c>
      <c r="H673" s="72">
        <f t="shared" si="157"/>
        <v>3898.9622891955128</v>
      </c>
      <c r="I673" s="72">
        <f t="shared" si="158"/>
        <v>-0.71610141675027228</v>
      </c>
      <c r="J673">
        <f t="shared" si="159"/>
        <v>0</v>
      </c>
    </row>
    <row r="674" spans="1:10" x14ac:dyDescent="0.25">
      <c r="A674">
        <v>16</v>
      </c>
      <c r="B674" s="73">
        <f t="shared" si="153"/>
        <v>37.420527121609801</v>
      </c>
      <c r="C674" s="72">
        <f t="shared" si="160"/>
        <v>-0.39609572179891905</v>
      </c>
      <c r="D674" s="72">
        <f t="shared" si="161"/>
        <v>-4.2095632813437938</v>
      </c>
      <c r="E674" s="73">
        <f t="shared" si="154"/>
        <v>0</v>
      </c>
      <c r="F674" s="72">
        <f t="shared" si="155"/>
        <v>1028.3092196638152</v>
      </c>
      <c r="G674" s="72">
        <f t="shared" si="156"/>
        <v>3.7921230461294892</v>
      </c>
      <c r="H674" s="72">
        <f t="shared" si="157"/>
        <v>3898.9622891955128</v>
      </c>
      <c r="I674" s="72">
        <f t="shared" si="158"/>
        <v>-0.71610141675027228</v>
      </c>
      <c r="J674">
        <f t="shared" si="159"/>
        <v>0</v>
      </c>
    </row>
    <row r="675" spans="1:10" x14ac:dyDescent="0.25">
      <c r="A675">
        <v>17</v>
      </c>
      <c r="B675" s="73">
        <f t="shared" si="153"/>
        <v>37.420527121609801</v>
      </c>
      <c r="C675" s="72">
        <f t="shared" si="160"/>
        <v>-0.39609572179891905</v>
      </c>
      <c r="D675" s="72">
        <f t="shared" si="161"/>
        <v>-4.2095632813437938</v>
      </c>
      <c r="E675" s="73">
        <f t="shared" si="154"/>
        <v>0</v>
      </c>
      <c r="F675" s="72">
        <f t="shared" si="155"/>
        <v>1028.3092196638152</v>
      </c>
      <c r="G675" s="72">
        <f t="shared" si="156"/>
        <v>3.7921230461294892</v>
      </c>
      <c r="H675" s="72">
        <f t="shared" si="157"/>
        <v>3898.9622891955128</v>
      </c>
      <c r="I675" s="72">
        <f t="shared" si="158"/>
        <v>-0.71610141675027228</v>
      </c>
      <c r="J675">
        <f t="shared" si="159"/>
        <v>0</v>
      </c>
    </row>
    <row r="676" spans="1:10" x14ac:dyDescent="0.25">
      <c r="A676">
        <v>18</v>
      </c>
      <c r="B676" s="73">
        <f t="shared" si="153"/>
        <v>37.420527121609801</v>
      </c>
      <c r="C676" s="72">
        <f t="shared" si="160"/>
        <v>-0.39609572179891905</v>
      </c>
      <c r="D676" s="72">
        <f t="shared" si="161"/>
        <v>-4.2095632813437938</v>
      </c>
      <c r="E676" s="73">
        <f t="shared" si="154"/>
        <v>0</v>
      </c>
      <c r="F676" s="72">
        <f t="shared" si="155"/>
        <v>1028.3092196638152</v>
      </c>
      <c r="G676" s="72">
        <f t="shared" si="156"/>
        <v>3.7921230461294892</v>
      </c>
      <c r="H676" s="72">
        <f t="shared" si="157"/>
        <v>3898.9622891955128</v>
      </c>
      <c r="I676" s="72">
        <f t="shared" si="158"/>
        <v>-0.71610141675027228</v>
      </c>
      <c r="J676">
        <f t="shared" si="159"/>
        <v>0</v>
      </c>
    </row>
    <row r="677" spans="1:10" x14ac:dyDescent="0.25">
      <c r="A677">
        <v>19</v>
      </c>
      <c r="B677" s="73">
        <f t="shared" si="153"/>
        <v>37.420527121609801</v>
      </c>
      <c r="C677" s="72">
        <f t="shared" si="160"/>
        <v>-0.39609572179891905</v>
      </c>
      <c r="D677" s="72">
        <f t="shared" si="161"/>
        <v>-4.2095632813437938</v>
      </c>
      <c r="E677" s="73">
        <f t="shared" si="154"/>
        <v>0</v>
      </c>
      <c r="F677" s="72">
        <f t="shared" si="155"/>
        <v>1028.3092196638152</v>
      </c>
      <c r="G677" s="72">
        <f t="shared" si="156"/>
        <v>3.7921230461294892</v>
      </c>
      <c r="H677" s="72">
        <f t="shared" si="157"/>
        <v>3898.9622891955128</v>
      </c>
      <c r="I677" s="72">
        <f t="shared" si="158"/>
        <v>-0.71610141675027228</v>
      </c>
      <c r="J677">
        <f t="shared" si="159"/>
        <v>0</v>
      </c>
    </row>
    <row r="678" spans="1:10" x14ac:dyDescent="0.25">
      <c r="A678">
        <v>20</v>
      </c>
      <c r="B678" s="73">
        <f t="shared" si="153"/>
        <v>37.420527121609801</v>
      </c>
      <c r="C678" s="72">
        <f t="shared" si="160"/>
        <v>-0.39609572179891905</v>
      </c>
      <c r="D678" s="72">
        <f t="shared" si="161"/>
        <v>-4.2095632813437938</v>
      </c>
      <c r="E678" s="73">
        <f t="shared" si="154"/>
        <v>0</v>
      </c>
      <c r="F678" s="72">
        <f t="shared" si="155"/>
        <v>1028.3092196638152</v>
      </c>
      <c r="G678" s="72">
        <f t="shared" si="156"/>
        <v>3.7921230461294892</v>
      </c>
      <c r="H678" s="72">
        <f t="shared" si="157"/>
        <v>3898.9622891955128</v>
      </c>
      <c r="I678" s="72">
        <f t="shared" si="158"/>
        <v>-0.71610141675027228</v>
      </c>
      <c r="J678">
        <f t="shared" si="159"/>
        <v>0</v>
      </c>
    </row>
    <row r="679" spans="1:10" x14ac:dyDescent="0.25">
      <c r="A679">
        <v>21</v>
      </c>
      <c r="B679" s="73">
        <f t="shared" si="153"/>
        <v>37.420527121609801</v>
      </c>
      <c r="C679" s="72">
        <f t="shared" si="160"/>
        <v>-0.39609572179891905</v>
      </c>
      <c r="D679" s="72">
        <f t="shared" si="161"/>
        <v>-4.2095632813437938</v>
      </c>
      <c r="E679" s="73">
        <f t="shared" si="154"/>
        <v>0</v>
      </c>
      <c r="F679" s="72">
        <f t="shared" si="155"/>
        <v>1028.3092196638152</v>
      </c>
      <c r="G679" s="72">
        <f t="shared" si="156"/>
        <v>3.7921230461294892</v>
      </c>
      <c r="H679" s="72">
        <f t="shared" si="157"/>
        <v>3898.9622891955128</v>
      </c>
      <c r="I679" s="72">
        <f t="shared" si="158"/>
        <v>-0.71610141675027228</v>
      </c>
      <c r="J679">
        <f t="shared" si="159"/>
        <v>0</v>
      </c>
    </row>
    <row r="680" spans="1:10" x14ac:dyDescent="0.25">
      <c r="A680">
        <v>22</v>
      </c>
      <c r="B680" s="73">
        <f t="shared" si="153"/>
        <v>37.420527121609801</v>
      </c>
      <c r="C680" s="72">
        <f t="shared" si="160"/>
        <v>-0.37253273912432694</v>
      </c>
      <c r="D680" s="72">
        <f t="shared" si="161"/>
        <v>-4.2040571180673281</v>
      </c>
      <c r="E680" s="73">
        <f t="shared" si="154"/>
        <v>1</v>
      </c>
      <c r="F680" s="72">
        <f t="shared" si="155"/>
        <v>1028.3092196638152</v>
      </c>
      <c r="G680" s="72">
        <f t="shared" si="156"/>
        <v>3.7921230461294892</v>
      </c>
      <c r="H680" s="72">
        <f t="shared" si="157"/>
        <v>3898.9622891955128</v>
      </c>
      <c r="I680" s="72">
        <f t="shared" si="158"/>
        <v>-0.71610141675027228</v>
      </c>
      <c r="J680">
        <f t="shared" si="159"/>
        <v>-8.8820867605781384</v>
      </c>
    </row>
    <row r="681" spans="1:10" x14ac:dyDescent="0.25">
      <c r="C681" s="72"/>
    </row>
    <row r="682" spans="1:10" x14ac:dyDescent="0.25">
      <c r="C682" s="72"/>
    </row>
    <row r="683" spans="1:10" x14ac:dyDescent="0.25">
      <c r="C683" s="72"/>
    </row>
    <row r="684" spans="1:10" x14ac:dyDescent="0.25">
      <c r="C684" s="72"/>
    </row>
    <row r="685" spans="1:10" x14ac:dyDescent="0.25">
      <c r="C685" s="72"/>
    </row>
  </sheetData>
  <mergeCells count="16">
    <mergeCell ref="B648:G648"/>
    <mergeCell ref="B650:G650"/>
    <mergeCell ref="G113:K113"/>
    <mergeCell ref="A113:E113"/>
    <mergeCell ref="M113:O113"/>
    <mergeCell ref="A603:A642"/>
    <mergeCell ref="N218:P218"/>
    <mergeCell ref="K218:M218"/>
    <mergeCell ref="K234:M234"/>
    <mergeCell ref="N234:P234"/>
    <mergeCell ref="E195:G195"/>
    <mergeCell ref="I195:K195"/>
    <mergeCell ref="M195:O195"/>
    <mergeCell ref="A195:C195"/>
    <mergeCell ref="G342:I342"/>
    <mergeCell ref="J342:M342"/>
  </mergeCells>
  <conditionalFormatting sqref="J659:J680">
    <cfRule type="dataBar" priority="2">
      <dataBar>
        <cfvo type="min"/>
        <cfvo type="max"/>
        <color rgb="FF63C384"/>
      </dataBar>
    </cfRule>
  </conditionalFormatting>
  <conditionalFormatting sqref="L667:M667">
    <cfRule type="dataBar" priority="1">
      <dataBar>
        <cfvo type="min"/>
        <cfvo type="max"/>
        <color rgb="FF63C384"/>
      </dataBar>
    </cfRule>
  </conditionalFormatting>
  <hyperlinks>
    <hyperlink ref="BG116" r:id="rId1"/>
    <hyperlink ref="BG117" r:id="rId2"/>
    <hyperlink ref="AA115" r:id="rId3"/>
    <hyperlink ref="AA121" r:id="rId4"/>
  </hyperlinks>
  <pageMargins left="0.25" right="0.25" top="0.75" bottom="0.75" header="0.3" footer="0.3"/>
  <pageSetup orientation="portrait" horizontalDpi="4294967292" verticalDpi="4294967292" r:id="rId5"/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88"/>
  <sheetViews>
    <sheetView topLeftCell="A71" workbookViewId="0">
      <selection activeCell="E37" sqref="E37"/>
    </sheetView>
  </sheetViews>
  <sheetFormatPr defaultRowHeight="15" x14ac:dyDescent="0.25"/>
  <cols>
    <col min="1" max="2" width="9.140625" style="7"/>
  </cols>
  <sheetData>
    <row r="1" spans="1:12" x14ac:dyDescent="0.25">
      <c r="A1" s="7" t="s">
        <v>2214</v>
      </c>
      <c r="B1" s="7" t="s">
        <v>1845</v>
      </c>
      <c r="L1" s="338" t="s">
        <v>2229</v>
      </c>
    </row>
    <row r="2" spans="1:12" x14ac:dyDescent="0.25">
      <c r="A2" s="7" t="s">
        <v>2215</v>
      </c>
      <c r="B2" s="7">
        <v>0.80800000000000005</v>
      </c>
      <c r="D2">
        <f>B2*9.81</f>
        <v>7.9264800000000006</v>
      </c>
      <c r="F2">
        <f>D2/D3</f>
        <v>985.5643338331729</v>
      </c>
      <c r="G2" t="s">
        <v>2224</v>
      </c>
    </row>
    <row r="3" spans="1:12" x14ac:dyDescent="0.25">
      <c r="A3" s="7" t="s">
        <v>2216</v>
      </c>
      <c r="B3" s="7">
        <v>0.14730000000000001</v>
      </c>
      <c r="D3">
        <f>B3*B4</f>
        <v>8.0425800000000006E-3</v>
      </c>
      <c r="F3">
        <v>0.14294399999999999</v>
      </c>
      <c r="G3" t="s">
        <v>2194</v>
      </c>
      <c r="I3">
        <f>B3*100</f>
        <v>14.730000000000002</v>
      </c>
      <c r="J3" t="s">
        <v>2225</v>
      </c>
    </row>
    <row r="4" spans="1:12" x14ac:dyDescent="0.25">
      <c r="A4" s="7" t="s">
        <v>2217</v>
      </c>
      <c r="B4" s="7">
        <v>5.4600000000000003E-2</v>
      </c>
      <c r="F4">
        <f>F3*I4</f>
        <v>0.82896264566929134</v>
      </c>
      <c r="G4" t="s">
        <v>2001</v>
      </c>
      <c r="H4" t="s">
        <v>2226</v>
      </c>
      <c r="I4">
        <f>I3/2.54</f>
        <v>5.7992125984251972</v>
      </c>
      <c r="J4" t="s">
        <v>701</v>
      </c>
    </row>
    <row r="5" spans="1:12" x14ac:dyDescent="0.25">
      <c r="A5" s="7" t="s">
        <v>2218</v>
      </c>
      <c r="B5" s="7">
        <v>4.3200000000000002E-2</v>
      </c>
      <c r="H5" t="s">
        <v>2227</v>
      </c>
      <c r="I5">
        <f>B4*100/2.54</f>
        <v>2.1496062992125982</v>
      </c>
      <c r="J5" t="s">
        <v>701</v>
      </c>
    </row>
    <row r="6" spans="1:12" x14ac:dyDescent="0.25">
      <c r="A6" s="7" t="s">
        <v>2219</v>
      </c>
      <c r="B6" s="7">
        <v>0.297039068442015</v>
      </c>
      <c r="E6" t="s">
        <v>2228</v>
      </c>
      <c r="F6">
        <f>(F4*I5^2)/12</f>
        <v>0.3192063830113801</v>
      </c>
      <c r="G6" t="s">
        <v>1920</v>
      </c>
    </row>
    <row r="7" spans="1:12" x14ac:dyDescent="0.25">
      <c r="A7" s="7" t="s">
        <v>2220</v>
      </c>
      <c r="B7" s="7">
        <v>0</v>
      </c>
      <c r="F7" t="s">
        <v>2165</v>
      </c>
      <c r="G7">
        <f>I4*(0.3^3)/12</f>
        <v>1.3048228346456693E-2</v>
      </c>
    </row>
    <row r="8" spans="1:12" x14ac:dyDescent="0.25">
      <c r="A8" s="7" t="s">
        <v>2221</v>
      </c>
      <c r="B8" s="7">
        <v>2.1600000000000001E-2</v>
      </c>
      <c r="E8" t="s">
        <v>2102</v>
      </c>
      <c r="F8">
        <f>((F6)*(0.3/2))/G7</f>
        <v>3.6695370574741135</v>
      </c>
    </row>
    <row r="11" spans="1:12" x14ac:dyDescent="0.25">
      <c r="A11" s="7" t="s">
        <v>2214</v>
      </c>
      <c r="B11" s="7" t="s">
        <v>2274</v>
      </c>
    </row>
    <row r="12" spans="1:12" x14ac:dyDescent="0.25">
      <c r="A12" s="7" t="s">
        <v>2215</v>
      </c>
      <c r="B12" s="7">
        <v>0.29499999999999998</v>
      </c>
    </row>
    <row r="13" spans="1:12" x14ac:dyDescent="0.25">
      <c r="A13" s="7" t="s">
        <v>2216</v>
      </c>
      <c r="B13" s="7">
        <v>0.22</v>
      </c>
    </row>
    <row r="14" spans="1:12" x14ac:dyDescent="0.25">
      <c r="A14" s="7" t="s">
        <v>2217</v>
      </c>
      <c r="B14" s="7">
        <v>9.5000000000000001E-2</v>
      </c>
    </row>
    <row r="15" spans="1:12" x14ac:dyDescent="0.25">
      <c r="A15" s="7" t="s">
        <v>2218</v>
      </c>
      <c r="B15" s="7">
        <v>9.5000000000000001E-2</v>
      </c>
    </row>
    <row r="16" spans="1:12" x14ac:dyDescent="0.25">
      <c r="A16" s="7" t="s">
        <v>2219</v>
      </c>
      <c r="B16" s="7">
        <v>0.463389068442015</v>
      </c>
    </row>
    <row r="17" spans="1:2" x14ac:dyDescent="0.25">
      <c r="A17" s="7" t="s">
        <v>2220</v>
      </c>
      <c r="B17" s="7">
        <v>0</v>
      </c>
    </row>
    <row r="18" spans="1:2" x14ac:dyDescent="0.25">
      <c r="A18" s="7" t="s">
        <v>2221</v>
      </c>
      <c r="B18" s="7">
        <v>0</v>
      </c>
    </row>
    <row r="21" spans="1:2" x14ac:dyDescent="0.25">
      <c r="A21" s="7" t="s">
        <v>2214</v>
      </c>
      <c r="B21" s="7" t="s">
        <v>2275</v>
      </c>
    </row>
    <row r="22" spans="1:2" x14ac:dyDescent="0.25">
      <c r="A22" s="7" t="s">
        <v>2215</v>
      </c>
      <c r="B22" s="7">
        <v>0.29499999999999998</v>
      </c>
    </row>
    <row r="23" spans="1:2" x14ac:dyDescent="0.25">
      <c r="A23" s="7" t="s">
        <v>2216</v>
      </c>
      <c r="B23" s="7">
        <v>0.22</v>
      </c>
    </row>
    <row r="24" spans="1:2" x14ac:dyDescent="0.25">
      <c r="A24" s="7" t="s">
        <v>2217</v>
      </c>
      <c r="B24" s="7">
        <v>9.5000000000000001E-2</v>
      </c>
    </row>
    <row r="25" spans="1:2" x14ac:dyDescent="0.25">
      <c r="A25" s="7" t="s">
        <v>2218</v>
      </c>
      <c r="B25" s="7">
        <v>9.5000000000000001E-2</v>
      </c>
    </row>
    <row r="26" spans="1:2" x14ac:dyDescent="0.25">
      <c r="A26" s="7" t="s">
        <v>2219</v>
      </c>
      <c r="B26" s="7">
        <v>0.70338906844201499</v>
      </c>
    </row>
    <row r="27" spans="1:2" x14ac:dyDescent="0.25">
      <c r="A27" s="7" t="s">
        <v>2220</v>
      </c>
      <c r="B27" s="7">
        <v>0</v>
      </c>
    </row>
    <row r="28" spans="1:2" x14ac:dyDescent="0.25">
      <c r="A28" s="7" t="s">
        <v>2221</v>
      </c>
      <c r="B28" s="7">
        <v>0</v>
      </c>
    </row>
    <row r="31" spans="1:2" x14ac:dyDescent="0.25">
      <c r="A31" s="7" t="s">
        <v>2214</v>
      </c>
      <c r="B31" s="7" t="s">
        <v>2222</v>
      </c>
    </row>
    <row r="32" spans="1:2" x14ac:dyDescent="0.25">
      <c r="A32" s="7" t="s">
        <v>2215</v>
      </c>
      <c r="B32" s="7">
        <v>2.8000000000000001E-2</v>
      </c>
    </row>
    <row r="33" spans="1:2" x14ac:dyDescent="0.25">
      <c r="A33" s="7" t="s">
        <v>2216</v>
      </c>
      <c r="B33" s="7">
        <v>7.0000000000000007E-2</v>
      </c>
    </row>
    <row r="34" spans="1:2" x14ac:dyDescent="0.25">
      <c r="A34" s="7" t="s">
        <v>2217</v>
      </c>
      <c r="B34" s="7">
        <v>4.4999999999999998E-2</v>
      </c>
    </row>
    <row r="35" spans="1:2" x14ac:dyDescent="0.25">
      <c r="A35" s="7" t="s">
        <v>2218</v>
      </c>
      <c r="B35" s="7">
        <v>1.4999999999999999E-2</v>
      </c>
    </row>
    <row r="36" spans="1:2" x14ac:dyDescent="0.25">
      <c r="A36" s="7" t="s">
        <v>2219</v>
      </c>
      <c r="B36" s="7">
        <v>0.90838906844201495</v>
      </c>
    </row>
    <row r="37" spans="1:2" x14ac:dyDescent="0.25">
      <c r="A37" s="7" t="s">
        <v>2220</v>
      </c>
      <c r="B37" s="7">
        <v>0</v>
      </c>
    </row>
    <row r="38" spans="1:2" x14ac:dyDescent="0.25">
      <c r="A38" s="7" t="s">
        <v>2221</v>
      </c>
      <c r="B38" s="7">
        <v>7.4999999999999997E-3</v>
      </c>
    </row>
    <row r="41" spans="1:2" x14ac:dyDescent="0.25">
      <c r="A41" s="7" t="s">
        <v>2214</v>
      </c>
      <c r="B41" s="7" t="s">
        <v>2223</v>
      </c>
    </row>
    <row r="42" spans="1:2" x14ac:dyDescent="0.25">
      <c r="A42" s="7" t="s">
        <v>2215</v>
      </c>
      <c r="B42" s="7">
        <v>4.4000000000000003E-3</v>
      </c>
    </row>
    <row r="43" spans="1:2" x14ac:dyDescent="0.25">
      <c r="A43" s="7" t="s">
        <v>2216</v>
      </c>
      <c r="B43" s="7">
        <v>0.04</v>
      </c>
    </row>
    <row r="44" spans="1:2" x14ac:dyDescent="0.25">
      <c r="A44" s="7" t="s">
        <v>2217</v>
      </c>
      <c r="B44" s="7">
        <v>1.9E-2</v>
      </c>
    </row>
    <row r="45" spans="1:2" x14ac:dyDescent="0.25">
      <c r="A45" s="7" t="s">
        <v>2218</v>
      </c>
      <c r="B45" s="7">
        <v>9.0000000000000011E-3</v>
      </c>
    </row>
    <row r="46" spans="1:2" x14ac:dyDescent="0.25">
      <c r="A46" s="7" t="s">
        <v>2219</v>
      </c>
      <c r="B46" s="7">
        <v>0.92338906844201496</v>
      </c>
    </row>
    <row r="47" spans="1:2" x14ac:dyDescent="0.25">
      <c r="A47" s="7" t="s">
        <v>2220</v>
      </c>
      <c r="B47" s="7">
        <v>0</v>
      </c>
    </row>
    <row r="48" spans="1:2" x14ac:dyDescent="0.25">
      <c r="A48" s="7" t="s">
        <v>2221</v>
      </c>
      <c r="B48" s="7">
        <v>1.95E-2</v>
      </c>
    </row>
    <row r="51" spans="1:2" x14ac:dyDescent="0.25">
      <c r="A51" s="7" t="s">
        <v>2214</v>
      </c>
      <c r="B51" s="7" t="s">
        <v>2276</v>
      </c>
    </row>
    <row r="52" spans="1:2" x14ac:dyDescent="0.25">
      <c r="A52" s="7" t="s">
        <v>2215</v>
      </c>
      <c r="B52" s="7">
        <v>4.0000000000000001E-3</v>
      </c>
    </row>
    <row r="53" spans="1:2" x14ac:dyDescent="0.25">
      <c r="A53" s="7" t="s">
        <v>2216</v>
      </c>
      <c r="B53" s="7">
        <v>5.5500000000000001E-2</v>
      </c>
    </row>
    <row r="54" spans="1:2" x14ac:dyDescent="0.25">
      <c r="A54" s="7" t="s">
        <v>2217</v>
      </c>
      <c r="B54" s="7">
        <v>2.6700000000000002E-2</v>
      </c>
    </row>
    <row r="55" spans="1:2" x14ac:dyDescent="0.25">
      <c r="A55" s="7" t="s">
        <v>2218</v>
      </c>
      <c r="B55" s="7">
        <v>1.3300000000000001E-2</v>
      </c>
    </row>
    <row r="56" spans="1:2" x14ac:dyDescent="0.25">
      <c r="A56" s="7" t="s">
        <v>2219</v>
      </c>
      <c r="B56" s="7">
        <v>0.97113906844201503</v>
      </c>
    </row>
    <row r="57" spans="1:2" x14ac:dyDescent="0.25">
      <c r="A57" s="7" t="s">
        <v>2220</v>
      </c>
      <c r="B57" s="7">
        <v>0</v>
      </c>
    </row>
    <row r="58" spans="1:2" x14ac:dyDescent="0.25">
      <c r="A58" s="7" t="s">
        <v>2221</v>
      </c>
      <c r="B58" s="7">
        <v>8.2850000000000007E-2</v>
      </c>
    </row>
    <row r="61" spans="1:2" x14ac:dyDescent="0.25">
      <c r="A61" s="7" t="s">
        <v>2214</v>
      </c>
      <c r="B61" s="7" t="s">
        <v>2126</v>
      </c>
    </row>
    <row r="62" spans="1:2" x14ac:dyDescent="0.25">
      <c r="A62" s="7" t="s">
        <v>2215</v>
      </c>
      <c r="B62" s="7">
        <v>1.6800000000000002E-2</v>
      </c>
    </row>
    <row r="63" spans="1:2" x14ac:dyDescent="0.25">
      <c r="A63" s="7" t="s">
        <v>2216</v>
      </c>
      <c r="B63" s="7">
        <v>3.7999999999999999E-2</v>
      </c>
    </row>
    <row r="64" spans="1:2" x14ac:dyDescent="0.25">
      <c r="A64" s="7" t="s">
        <v>2217</v>
      </c>
      <c r="B64" s="7">
        <v>3.7999999999999999E-2</v>
      </c>
    </row>
    <row r="65" spans="1:2" x14ac:dyDescent="0.25">
      <c r="A65" s="7" t="s">
        <v>2218</v>
      </c>
      <c r="B65" s="7">
        <v>8.5000000000000006E-3</v>
      </c>
    </row>
    <row r="66" spans="1:2" x14ac:dyDescent="0.25">
      <c r="A66" s="7" t="s">
        <v>2219</v>
      </c>
      <c r="B66" s="7">
        <v>0.96238906844201499</v>
      </c>
    </row>
    <row r="67" spans="1:2" x14ac:dyDescent="0.25">
      <c r="A67" s="7" t="s">
        <v>2220</v>
      </c>
      <c r="B67" s="7">
        <v>0</v>
      </c>
    </row>
    <row r="68" spans="1:2" x14ac:dyDescent="0.25">
      <c r="A68" s="7" t="s">
        <v>2221</v>
      </c>
      <c r="B68" s="7">
        <v>9.3750000000000014E-2</v>
      </c>
    </row>
    <row r="71" spans="1:2" x14ac:dyDescent="0.25">
      <c r="A71" s="7" t="s">
        <v>2214</v>
      </c>
      <c r="B71" s="7" t="s">
        <v>2128</v>
      </c>
    </row>
    <row r="72" spans="1:2" x14ac:dyDescent="0.25">
      <c r="A72" s="7" t="s">
        <v>2215</v>
      </c>
      <c r="B72" s="7">
        <v>2.5000000000000001E-2</v>
      </c>
    </row>
    <row r="73" spans="1:2" x14ac:dyDescent="0.25">
      <c r="A73" s="7" t="s">
        <v>2216</v>
      </c>
      <c r="B73" s="7">
        <v>5.5E-2</v>
      </c>
    </row>
    <row r="74" spans="1:2" x14ac:dyDescent="0.25">
      <c r="A74" s="7" t="s">
        <v>2217</v>
      </c>
      <c r="B74" s="7">
        <v>1.9E-2</v>
      </c>
    </row>
    <row r="75" spans="1:2" x14ac:dyDescent="0.25">
      <c r="A75" s="7" t="s">
        <v>2218</v>
      </c>
      <c r="B75" s="7">
        <v>0.01</v>
      </c>
    </row>
    <row r="76" spans="1:2" x14ac:dyDescent="0.25">
      <c r="A76" s="7" t="s">
        <v>2219</v>
      </c>
      <c r="B76" s="7">
        <v>1.0263890684420149</v>
      </c>
    </row>
    <row r="77" spans="1:2" x14ac:dyDescent="0.25">
      <c r="A77" s="7" t="s">
        <v>2220</v>
      </c>
      <c r="B77" s="7">
        <v>0</v>
      </c>
    </row>
    <row r="78" spans="1:2" x14ac:dyDescent="0.25">
      <c r="A78" s="7" t="s">
        <v>2221</v>
      </c>
      <c r="B78" s="7">
        <v>8.1200000000000008E-2</v>
      </c>
    </row>
    <row r="81" spans="1:2" x14ac:dyDescent="0.25">
      <c r="A81" s="7" t="s">
        <v>2214</v>
      </c>
      <c r="B81" s="7" t="s">
        <v>778</v>
      </c>
    </row>
    <row r="82" spans="1:2" x14ac:dyDescent="0.25">
      <c r="A82" s="7" t="s">
        <v>2215</v>
      </c>
      <c r="B82" s="7">
        <v>5.2999999999999999E-2</v>
      </c>
    </row>
    <row r="83" spans="1:2" x14ac:dyDescent="0.25">
      <c r="A83" s="7" t="s">
        <v>2216</v>
      </c>
      <c r="B83" s="7">
        <v>3.3000000000000002E-2</v>
      </c>
    </row>
    <row r="84" spans="1:2" x14ac:dyDescent="0.25">
      <c r="A84" s="7" t="s">
        <v>2217</v>
      </c>
      <c r="B84" s="7">
        <v>2.7999999999999997E-2</v>
      </c>
    </row>
    <row r="85" spans="1:2" x14ac:dyDescent="0.25">
      <c r="A85" s="7" t="s">
        <v>2218</v>
      </c>
      <c r="B85" s="7">
        <v>2.7999999999999997E-2</v>
      </c>
    </row>
    <row r="86" spans="1:2" x14ac:dyDescent="0.25">
      <c r="A86" s="7" t="s">
        <v>2219</v>
      </c>
      <c r="B86" s="7">
        <v>1.4826886372960693</v>
      </c>
    </row>
    <row r="87" spans="1:2" x14ac:dyDescent="0.25">
      <c r="A87" s="7" t="s">
        <v>2220</v>
      </c>
      <c r="B87" s="7">
        <v>0</v>
      </c>
    </row>
    <row r="88" spans="1:2" x14ac:dyDescent="0.25">
      <c r="A88" s="7" t="s">
        <v>2221</v>
      </c>
      <c r="B88" s="7">
        <v>9.0200000000000002E-2</v>
      </c>
    </row>
  </sheetData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X673"/>
  <sheetViews>
    <sheetView topLeftCell="A359" zoomScaleNormal="100" workbookViewId="0">
      <selection activeCell="C366" sqref="C366"/>
    </sheetView>
  </sheetViews>
  <sheetFormatPr defaultRowHeight="15" x14ac:dyDescent="0.25"/>
  <cols>
    <col min="1" max="1" width="33.42578125" style="474" bestFit="1" customWidth="1"/>
    <col min="2" max="2" width="15.85546875" style="474" bestFit="1" customWidth="1"/>
    <col min="3" max="3" width="17.28515625" style="474" bestFit="1" customWidth="1"/>
    <col min="4" max="4" width="25.42578125" style="474" bestFit="1" customWidth="1"/>
    <col min="5" max="5" width="8.28515625" style="474" bestFit="1" customWidth="1"/>
    <col min="6" max="6" width="12.140625" style="474" bestFit="1" customWidth="1"/>
    <col min="7" max="7" width="14.85546875" style="474" bestFit="1" customWidth="1"/>
    <col min="8" max="8" width="16" style="474" bestFit="1" customWidth="1"/>
    <col min="9" max="9" width="14.28515625" style="474" bestFit="1" customWidth="1"/>
    <col min="10" max="10" width="15.42578125" style="474" bestFit="1" customWidth="1"/>
    <col min="11" max="11" width="56" style="474" bestFit="1" customWidth="1"/>
    <col min="12" max="12" width="31.7109375" style="474" bestFit="1" customWidth="1"/>
    <col min="13" max="13" width="13" style="474" customWidth="1"/>
    <col min="14" max="14" width="50.140625" style="474" customWidth="1"/>
    <col min="15" max="15" width="11" style="474" bestFit="1" customWidth="1"/>
    <col min="16" max="16" width="20.140625" style="474" bestFit="1" customWidth="1"/>
    <col min="17" max="17" width="18.42578125" style="474" customWidth="1"/>
    <col min="18" max="18" width="26.42578125" style="474" customWidth="1"/>
    <col min="19" max="20" width="17.28515625" style="474" bestFit="1" customWidth="1"/>
    <col min="21" max="21" width="26" style="474" bestFit="1" customWidth="1"/>
    <col min="22" max="22" width="12.28515625" style="474" bestFit="1" customWidth="1"/>
    <col min="23" max="23" width="44.5703125" style="474" bestFit="1" customWidth="1"/>
    <col min="24" max="24" width="10.7109375" style="474" bestFit="1" customWidth="1"/>
    <col min="25" max="25" width="19.140625" style="474" bestFit="1" customWidth="1"/>
    <col min="26" max="26" width="7.42578125" style="474" bestFit="1" customWidth="1"/>
    <col min="27" max="27" width="4.85546875" style="474" bestFit="1" customWidth="1"/>
    <col min="28" max="28" width="14.85546875" style="474" bestFit="1" customWidth="1"/>
    <col min="29" max="32" width="10" style="474" bestFit="1" customWidth="1"/>
    <col min="33" max="33" width="11.5703125" style="474" bestFit="1" customWidth="1"/>
    <col min="34" max="34" width="11" style="474" bestFit="1" customWidth="1"/>
    <col min="35" max="35" width="9.140625" style="474"/>
    <col min="36" max="36" width="14.85546875" style="474" bestFit="1" customWidth="1"/>
    <col min="37" max="37" width="15.85546875" style="474" bestFit="1" customWidth="1"/>
    <col min="38" max="38" width="9.140625" style="474"/>
    <col min="39" max="39" width="14.85546875" style="474" bestFit="1" customWidth="1"/>
    <col min="40" max="40" width="15.85546875" style="474" bestFit="1" customWidth="1"/>
    <col min="41" max="43" width="9.140625" style="474"/>
    <col min="44" max="45" width="10.140625" style="474" bestFit="1" customWidth="1"/>
    <col min="46" max="47" width="9.140625" style="474"/>
    <col min="48" max="49" width="14.85546875" style="474" bestFit="1" customWidth="1"/>
    <col min="50" max="16384" width="9.140625" style="474"/>
  </cols>
  <sheetData>
    <row r="1" spans="1:50" x14ac:dyDescent="0.25">
      <c r="A1" s="474" t="str">
        <f>IF('External layout'!A39="","",'External layout'!A39)</f>
        <v>VSTAB</v>
      </c>
      <c r="B1" s="474" t="str">
        <f>IF('External layout'!B39="","",'External layout'!B39)</f>
        <v/>
      </c>
      <c r="F1" s="474" t="str">
        <f>IF('External layout'!A1="","",'External layout'!A1)</f>
        <v>FUSELAGE</v>
      </c>
      <c r="G1" s="474" t="str">
        <f>IF('External layout'!B1="","",'External layout'!B1)</f>
        <v/>
      </c>
      <c r="U1" s="474" t="s">
        <v>2167</v>
      </c>
      <c r="Y1" s="7" t="str">
        <f>IF(Wing!S1="","",Wing!S1)</f>
        <v>Conversion factors</v>
      </c>
      <c r="Z1" s="7" t="str">
        <f>IF(Wing!T1="","",Wing!T1)</f>
        <v/>
      </c>
      <c r="AA1" s="7" t="str">
        <f>IF(Wing!U1="","",Wing!U1)</f>
        <v/>
      </c>
      <c r="AB1" s="7" t="str">
        <f>IF(Wing!V1="","",Wing!V1)</f>
        <v/>
      </c>
      <c r="AC1" s="7" t="str">
        <f>IF(Wing!W1="","",Wing!W1)</f>
        <v/>
      </c>
      <c r="AG1" s="1" t="s">
        <v>2286</v>
      </c>
      <c r="AJ1" s="474" t="s">
        <v>1847</v>
      </c>
      <c r="AK1" s="474" t="s">
        <v>1847</v>
      </c>
    </row>
    <row r="2" spans="1:50" x14ac:dyDescent="0.25">
      <c r="A2" s="474" t="str">
        <f>IF('External layout'!A40="","",'External layout'!A40)</f>
        <v xml:space="preserve">x_LE: </v>
      </c>
      <c r="B2" s="474">
        <f>IF('External layout'!B40="","",'External layout'!B40)</f>
        <v>1.2112602235682557</v>
      </c>
      <c r="F2" s="474" t="str">
        <f>IF('External layout'!A2="","",'External layout'!A2)</f>
        <v xml:space="preserve">Height: </v>
      </c>
      <c r="G2" s="474">
        <f>IF('External layout'!B2="","",'External layout'!B2)</f>
        <v>0.15240000000000001</v>
      </c>
      <c r="N2" s="474" t="s">
        <v>2316</v>
      </c>
      <c r="U2" s="474">
        <v>0.3</v>
      </c>
      <c r="V2" s="474" t="s">
        <v>2168</v>
      </c>
      <c r="Y2" s="7" t="str">
        <f>IF(Wing!S2="","",Wing!S2)</f>
        <v>cm</v>
      </c>
      <c r="Z2" s="7">
        <f>IF(Wing!T2="","",Wing!T2)</f>
        <v>2.54</v>
      </c>
      <c r="AA2" s="7" t="str">
        <f>IF(Wing!U2="","",Wing!U2)</f>
        <v>=</v>
      </c>
      <c r="AB2" s="7">
        <f>IF(Wing!V2="","",Wing!V2)</f>
        <v>1</v>
      </c>
      <c r="AC2" s="7" t="str">
        <f>IF(Wing!W2="","",Wing!W2)</f>
        <v>in</v>
      </c>
      <c r="AG2" s="1">
        <v>1</v>
      </c>
      <c r="AH2" s="474">
        <v>6.3000000000000003E-4</v>
      </c>
      <c r="AJ2" s="467"/>
      <c r="AK2" s="468"/>
      <c r="AM2" s="474" t="s">
        <v>701</v>
      </c>
      <c r="AN2" s="474" t="s">
        <v>701</v>
      </c>
      <c r="AQ2" s="474" t="s">
        <v>2328</v>
      </c>
    </row>
    <row r="3" spans="1:50" x14ac:dyDescent="0.25">
      <c r="A3" s="474" t="str">
        <f>IF('External layout'!A41="","",'External layout'!A41)</f>
        <v xml:space="preserve">x_AC: </v>
      </c>
      <c r="B3" s="474">
        <f>IF('External layout'!B41="","",'External layout'!B41)</f>
        <v>1.248702621421125</v>
      </c>
      <c r="F3" s="474" t="str">
        <f>IF('External layout'!A3="","",'External layout'!A3)</f>
        <v xml:space="preserve">Width: </v>
      </c>
      <c r="G3" s="474">
        <f>IF('External layout'!B3="","",'External layout'!B3)</f>
        <v>0.12</v>
      </c>
      <c r="N3" s="474" t="s">
        <v>2314</v>
      </c>
      <c r="U3" s="474">
        <f>U2/AB8</f>
        <v>1.334466488476385</v>
      </c>
      <c r="V3" s="474" t="s">
        <v>2069</v>
      </c>
      <c r="Y3" s="7" t="str">
        <f>IF(Wing!S3="","",Wing!S3)</f>
        <v/>
      </c>
      <c r="Z3" s="7" t="str">
        <f>IF(Wing!T3="","",Wing!T3)</f>
        <v/>
      </c>
      <c r="AA3" s="7" t="str">
        <f>IF(Wing!U3="","",Wing!U3)</f>
        <v/>
      </c>
      <c r="AB3" s="7" t="str">
        <f>IF(Wing!V3="","",Wing!V3)</f>
        <v/>
      </c>
      <c r="AC3" s="7" t="str">
        <f>IF(Wing!W3="","",Wing!W3)</f>
        <v/>
      </c>
      <c r="AG3" s="1">
        <v>0.95</v>
      </c>
      <c r="AH3" s="474">
        <v>4.0299999999999997E-3</v>
      </c>
      <c r="AJ3" s="469">
        <f t="shared" ref="AJ3:AJ20" si="0">AG2*100*$B$5</f>
        <v>14.976959141147677</v>
      </c>
      <c r="AK3" s="470">
        <v>0</v>
      </c>
      <c r="AM3" s="467" t="s">
        <v>2287</v>
      </c>
      <c r="AN3" s="468" t="s">
        <v>2288</v>
      </c>
      <c r="AQ3" s="474" t="s">
        <v>2292</v>
      </c>
      <c r="AT3" s="521" t="s">
        <v>2298</v>
      </c>
      <c r="AU3" s="521"/>
    </row>
    <row r="4" spans="1:50" x14ac:dyDescent="0.25">
      <c r="A4" s="474" t="str">
        <f>IF('External layout'!A42="","",'External layout'!A42)</f>
        <v xml:space="preserve">z_AC: </v>
      </c>
      <c r="B4" s="474">
        <f>IF('External layout'!B42="","",'External layout'!B42)</f>
        <v>2.3800000000000002E-2</v>
      </c>
      <c r="F4" s="474" t="str">
        <f>IF('External layout'!A4="","",'External layout'!A4)</f>
        <v xml:space="preserve">L_nose: </v>
      </c>
      <c r="G4" s="474">
        <f>IF('External layout'!B4="","",'External layout'!B4)</f>
        <v>0.223389068442015</v>
      </c>
      <c r="N4" s="474" t="s">
        <v>2315</v>
      </c>
      <c r="Y4" s="7" t="str">
        <f>IF(Wing!S4="","",Wing!S4)</f>
        <v>cm</v>
      </c>
      <c r="Z4" s="7">
        <f>IF(Wing!T4="","",Wing!T4)</f>
        <v>30.48</v>
      </c>
      <c r="AA4" s="7" t="str">
        <f>IF(Wing!U4="","",Wing!U4)</f>
        <v>=</v>
      </c>
      <c r="AB4" s="7">
        <f>IF(Wing!V4="","",Wing!V4)</f>
        <v>1</v>
      </c>
      <c r="AC4" s="7" t="str">
        <f>IF(Wing!W4="","",Wing!W4)</f>
        <v>ft</v>
      </c>
      <c r="AG4" s="1">
        <v>0.9</v>
      </c>
      <c r="AH4" s="474">
        <v>7.2399999999999999E-3</v>
      </c>
      <c r="AJ4" s="471">
        <f t="shared" si="0"/>
        <v>14.228111184090293</v>
      </c>
      <c r="AK4" s="472">
        <f t="shared" ref="AK4:AK20" si="1">AH3*100*$B$5</f>
        <v>6.0357145338825136E-2</v>
      </c>
      <c r="AM4" s="469">
        <f>Vertical!$AJ3/$Z$2</f>
        <v>5.896440606751054</v>
      </c>
      <c r="AN4" s="470">
        <f>Vertical!$AK3/$Z$2</f>
        <v>0</v>
      </c>
      <c r="AQ4" s="474" t="s">
        <v>2293</v>
      </c>
      <c r="AR4" s="474" t="s">
        <v>2294</v>
      </c>
      <c r="AS4" s="474" t="s">
        <v>2295</v>
      </c>
      <c r="AT4" s="474" t="s">
        <v>2296</v>
      </c>
      <c r="AU4" s="474" t="s">
        <v>2297</v>
      </c>
      <c r="AV4" s="474" t="s">
        <v>2299</v>
      </c>
      <c r="AW4" s="474" t="s">
        <v>2196</v>
      </c>
      <c r="AX4" s="474" t="s">
        <v>2300</v>
      </c>
    </row>
    <row r="5" spans="1:50" x14ac:dyDescent="0.25">
      <c r="A5" s="474" t="str">
        <f>IF('External layout'!A43="","",'External layout'!A43)</f>
        <v xml:space="preserve">Chord root: </v>
      </c>
      <c r="B5" s="474">
        <f>IF('External layout'!B43="","",'External layout'!B43)</f>
        <v>0.14976959141147678</v>
      </c>
      <c r="F5" s="474" t="str">
        <f>IF('External layout'!A5="","",'External layout'!A5)</f>
        <v xml:space="preserve">L_body: </v>
      </c>
      <c r="G5" s="474">
        <f>IF('External layout'!B5="","",'External layout'!B5)</f>
        <v>0.72</v>
      </c>
      <c r="U5" s="474" t="s">
        <v>1837</v>
      </c>
      <c r="V5" s="474" t="s">
        <v>1838</v>
      </c>
      <c r="W5" s="474" t="s">
        <v>1864</v>
      </c>
      <c r="Y5" s="7" t="str">
        <f>IF(Wing!S5="","",Wing!S5)</f>
        <v/>
      </c>
      <c r="Z5" s="7" t="str">
        <f>IF(Wing!T5="","",Wing!T5)</f>
        <v/>
      </c>
      <c r="AA5" s="7" t="str">
        <f>IF(Wing!U5="","",Wing!U5)</f>
        <v/>
      </c>
      <c r="AB5" s="7" t="str">
        <f>IF(Wing!V5="","",Wing!V5)</f>
        <v/>
      </c>
      <c r="AC5" s="7" t="str">
        <f>IF(Wing!W5="","",Wing!W5)</f>
        <v/>
      </c>
      <c r="AG5" s="1">
        <v>0.8</v>
      </c>
      <c r="AH5" s="474">
        <v>1.312E-2</v>
      </c>
      <c r="AJ5" s="469">
        <f t="shared" si="0"/>
        <v>13.479263227032909</v>
      </c>
      <c r="AK5" s="470">
        <f t="shared" si="1"/>
        <v>0.10843318418190918</v>
      </c>
      <c r="AM5" s="471">
        <f>Vertical!$AJ4/$Z$2</f>
        <v>5.6016185764135011</v>
      </c>
      <c r="AN5" s="472">
        <f>Vertical!$AK4/$Z$2</f>
        <v>2.3762655645206746E-2</v>
      </c>
      <c r="AQ5" s="474">
        <v>1</v>
      </c>
      <c r="AR5" s="474">
        <f>ABS(Vertical!$AM5-AM4)</f>
        <v>0.29482203033755283</v>
      </c>
      <c r="AS5" s="474">
        <f>AN5-AN27</f>
        <v>4.7525311290413493E-2</v>
      </c>
      <c r="AT5" s="474">
        <f>AM4-AR5/2</f>
        <v>5.7490295915822776</v>
      </c>
      <c r="AU5" s="474">
        <f>(AN5+AN27)/2</f>
        <v>0</v>
      </c>
      <c r="AV5" s="474">
        <f>AR5*(AS5^3)/12</f>
        <v>2.6372639435197406E-6</v>
      </c>
      <c r="AW5" s="474">
        <f>(AR5^3)*(AS5)/12</f>
        <v>1.0149006303221125E-4</v>
      </c>
      <c r="AX5" s="474">
        <v>0</v>
      </c>
    </row>
    <row r="6" spans="1:50" x14ac:dyDescent="0.25">
      <c r="A6" s="474" t="str">
        <f>IF('External layout'!A44="","",'External layout'!A44)</f>
        <v xml:space="preserve">Chord tip: </v>
      </c>
      <c r="B6" s="474">
        <f>IF('External layout'!B44="","",'External layout'!B44)</f>
        <v>0.11981567312918143</v>
      </c>
      <c r="F6" s="474" t="str">
        <f>IF('External layout'!A6="","",'External layout'!A6)</f>
        <v xml:space="preserve">L_rear: </v>
      </c>
      <c r="G6" s="474">
        <f>IF('External layout'!B6="","",'External layout'!B6)</f>
        <v>0.55579956885405424</v>
      </c>
      <c r="U6" s="474">
        <f>D6*0.25</f>
        <v>0</v>
      </c>
      <c r="V6" s="474">
        <f>B12</f>
        <v>14.976959141147677</v>
      </c>
      <c r="W6" s="474">
        <f>B11/2</f>
        <v>0.44945854382584177</v>
      </c>
      <c r="Y6" s="7" t="str">
        <f>IF(Wing!S6="","",Wing!S6)</f>
        <v>kg</v>
      </c>
      <c r="Z6" s="7">
        <f>IF(Wing!T6="","",Wing!T6)</f>
        <v>1</v>
      </c>
      <c r="AA6" s="7" t="str">
        <f>IF(Wing!U6="","",Wing!U6)</f>
        <v>=</v>
      </c>
      <c r="AB6" s="7">
        <f>IF(Wing!V6="","",Wing!V6)</f>
        <v>2.2046199999999998</v>
      </c>
      <c r="AC6" s="7" t="str">
        <f>IF(Wing!W6="","",Wing!W6)</f>
        <v>lbs</v>
      </c>
      <c r="AG6" s="1">
        <v>0.7</v>
      </c>
      <c r="AH6" s="474">
        <v>1.8319999999999999E-2</v>
      </c>
      <c r="AJ6" s="471">
        <f t="shared" si="0"/>
        <v>11.981567312918141</v>
      </c>
      <c r="AK6" s="472">
        <f t="shared" si="1"/>
        <v>0.19649770393185753</v>
      </c>
      <c r="AM6" s="469">
        <f>Vertical!$AJ5/$Z$2</f>
        <v>5.3067965460759483</v>
      </c>
      <c r="AN6" s="470">
        <f>Vertical!$AK5/$Z$2</f>
        <v>4.269022999287763E-2</v>
      </c>
      <c r="AQ6" s="474">
        <v>2</v>
      </c>
      <c r="AR6" s="474">
        <f>ABS(Vertical!$AM6-AM5)</f>
        <v>0.29482203033755283</v>
      </c>
      <c r="AS6" s="474">
        <f t="shared" ref="AS6:AS19" si="2">AN6-AN28</f>
        <v>8.5380459985755261E-2</v>
      </c>
      <c r="AT6" s="474">
        <f t="shared" ref="AT6:AT21" si="3">AM5-AR6/2</f>
        <v>5.4542075612447247</v>
      </c>
      <c r="AU6" s="474">
        <f t="shared" ref="AU6:AU21" si="4">(AN6+AN28)/2</f>
        <v>0</v>
      </c>
      <c r="AV6" s="474">
        <f t="shared" ref="AV6:AV21" si="5">AR6*(AS6^3)/12</f>
        <v>1.5291643244744402E-5</v>
      </c>
      <c r="AW6" s="474">
        <f t="shared" ref="AW6:AW21" si="6">(AR6^3)*(AS6)/12</f>
        <v>1.8232954251940682E-4</v>
      </c>
      <c r="AX6" s="474">
        <v>0</v>
      </c>
    </row>
    <row r="7" spans="1:50" x14ac:dyDescent="0.25">
      <c r="A7" s="474" t="str">
        <f>IF('External layout'!A45="","",'External layout'!A45)</f>
        <v xml:space="preserve">Span: </v>
      </c>
      <c r="B7" s="474">
        <f>IF('External layout'!B45="","",'External layout'!B45)</f>
        <v>0.22465438711721517</v>
      </c>
      <c r="F7" s="474" t="str">
        <f>IF('External layout'!A7="","",'External layout'!A7)</f>
        <v xml:space="preserve">L_total: </v>
      </c>
      <c r="G7" s="474">
        <f>IF('External layout'!B7="","",'External layout'!B7)</f>
        <v>1.4991886372960692</v>
      </c>
      <c r="Y7" s="7" t="str">
        <f>IF(Wing!S7="","",Wing!S7)</f>
        <v/>
      </c>
      <c r="Z7" s="7" t="str">
        <f>IF(Wing!T7="","",Wing!T7)</f>
        <v/>
      </c>
      <c r="AA7" s="7" t="str">
        <f>IF(Wing!U7="","",Wing!U7)</f>
        <v/>
      </c>
      <c r="AB7" s="7" t="str">
        <f>IF(Wing!V7="","",Wing!V7)</f>
        <v/>
      </c>
      <c r="AC7" s="7" t="str">
        <f>IF(Wing!W7="","",Wing!W7)</f>
        <v/>
      </c>
      <c r="AG7" s="1">
        <v>0.6</v>
      </c>
      <c r="AH7" s="474">
        <v>2.282E-2</v>
      </c>
      <c r="AJ7" s="469">
        <f t="shared" si="0"/>
        <v>10.483871398803375</v>
      </c>
      <c r="AK7" s="470">
        <f t="shared" si="1"/>
        <v>0.27437789146582542</v>
      </c>
      <c r="AM7" s="471">
        <f>Vertical!$AJ6/$Z$2</f>
        <v>4.7171524854008426</v>
      </c>
      <c r="AN7" s="472">
        <f>Vertical!$AK6/$Z$2</f>
        <v>7.7361300760573834E-2</v>
      </c>
      <c r="AQ7" s="474">
        <v>3</v>
      </c>
      <c r="AR7" s="474">
        <f>ABS(Vertical!$AM7-AM6)</f>
        <v>0.58964406067510566</v>
      </c>
      <c r="AS7" s="474">
        <f t="shared" si="2"/>
        <v>0.15472260152114767</v>
      </c>
      <c r="AT7" s="474">
        <f t="shared" si="3"/>
        <v>5.0119745157383955</v>
      </c>
      <c r="AU7" s="474">
        <f t="shared" si="4"/>
        <v>0</v>
      </c>
      <c r="AV7" s="474">
        <f t="shared" si="5"/>
        <v>1.8199940137836269E-4</v>
      </c>
      <c r="AW7" s="474">
        <f t="shared" si="6"/>
        <v>2.6432746937620085E-3</v>
      </c>
      <c r="AX7" s="474">
        <v>0</v>
      </c>
    </row>
    <row r="8" spans="1:50" x14ac:dyDescent="0.25">
      <c r="A8" s="474" t="str">
        <f>IF('External layout'!A46="","",'External layout'!A46)</f>
        <v xml:space="preserve">Airfoil: </v>
      </c>
      <c r="B8" s="474" t="str">
        <f>IF('External layout'!B46="","",'External layout'!B46)</f>
        <v>NACA0006</v>
      </c>
      <c r="F8" s="474" t="str">
        <f>IF('External layout'!A8="","",'External layout'!A8)</f>
        <v xml:space="preserve">Angle: </v>
      </c>
      <c r="G8" s="474">
        <f>IF('External layout'!B8="","",'External layout'!B8)</f>
        <v>15</v>
      </c>
      <c r="Y8" s="7" t="str">
        <f>IF(Wing!S8="","",Wing!S8)</f>
        <v>N</v>
      </c>
      <c r="Z8" s="7">
        <f>IF(Wing!T8="","",Wing!T8)</f>
        <v>1</v>
      </c>
      <c r="AA8" s="7" t="str">
        <f>IF(Wing!U8="","",Wing!U8)</f>
        <v>=</v>
      </c>
      <c r="AB8" s="7">
        <f>IF(Wing!V8="","",Wing!V8)</f>
        <v>0.22480894244300001</v>
      </c>
      <c r="AC8" s="7" t="str">
        <f>IF(Wing!W8="","",Wing!W8)</f>
        <v>lbs</v>
      </c>
      <c r="AG8" s="1">
        <v>0.5</v>
      </c>
      <c r="AH8" s="474">
        <v>2.647E-2</v>
      </c>
      <c r="AJ8" s="471">
        <f t="shared" si="0"/>
        <v>8.9861754846886068</v>
      </c>
      <c r="AK8" s="472">
        <f t="shared" si="1"/>
        <v>0.34177420760099003</v>
      </c>
      <c r="AM8" s="469">
        <f>Vertical!$AJ7/$Z$2</f>
        <v>4.1275084247257379</v>
      </c>
      <c r="AN8" s="470">
        <f>Vertical!$AK7/$Z$2</f>
        <v>0.1080227919156793</v>
      </c>
      <c r="AQ8" s="474">
        <v>4</v>
      </c>
      <c r="AR8" s="474">
        <f>ABS(Vertical!$AM8-AM7)</f>
        <v>0.58964406067510478</v>
      </c>
      <c r="AS8" s="474">
        <f t="shared" si="2"/>
        <v>0.21604558383135861</v>
      </c>
      <c r="AT8" s="474">
        <f t="shared" si="3"/>
        <v>4.4223304550632907</v>
      </c>
      <c r="AU8" s="474">
        <f t="shared" si="4"/>
        <v>0</v>
      </c>
      <c r="AV8" s="474">
        <f t="shared" si="5"/>
        <v>4.9550137321157067E-4</v>
      </c>
      <c r="AW8" s="474">
        <f t="shared" si="6"/>
        <v>3.6909140540944945E-3</v>
      </c>
      <c r="AX8" s="474">
        <v>0</v>
      </c>
    </row>
    <row r="9" spans="1:50" x14ac:dyDescent="0.25">
      <c r="A9" s="474" t="str">
        <f>IF('External layout'!A47="","",'External layout'!A47)</f>
        <v xml:space="preserve">Rudder_span_start: </v>
      </c>
      <c r="B9" s="474">
        <f>IF('External layout'!B47="","",'External layout'!B47)</f>
        <v>0</v>
      </c>
      <c r="F9" s="474" t="str">
        <f>IF('External layout'!A9="","",'External layout'!A9)</f>
        <v/>
      </c>
      <c r="G9" s="474" t="str">
        <f>IF('External layout'!B9="","",'External layout'!B9)</f>
        <v/>
      </c>
      <c r="AG9" s="1">
        <v>0.4</v>
      </c>
      <c r="AH9" s="474">
        <v>2.9020000000000001E-2</v>
      </c>
      <c r="AJ9" s="469">
        <f t="shared" si="0"/>
        <v>7.4884795705738387</v>
      </c>
      <c r="AK9" s="470">
        <f t="shared" si="1"/>
        <v>0.39644010846617905</v>
      </c>
      <c r="AM9" s="471">
        <f>Vertical!$AJ8/$Z$2</f>
        <v>3.5378643640506326</v>
      </c>
      <c r="AN9" s="472">
        <f>Vertical!$AK8/$Z$2</f>
        <v>0.13455677464605906</v>
      </c>
      <c r="AQ9" s="474">
        <v>5</v>
      </c>
      <c r="AR9" s="474">
        <f>ABS(Vertical!$AM9-AM8)</f>
        <v>0.58964406067510522</v>
      </c>
      <c r="AS9" s="474">
        <f t="shared" si="2"/>
        <v>0.26911354929211811</v>
      </c>
      <c r="AT9" s="474">
        <f t="shared" si="3"/>
        <v>3.832686394388185</v>
      </c>
      <c r="AU9" s="474">
        <f t="shared" si="4"/>
        <v>0</v>
      </c>
      <c r="AV9" s="474">
        <f t="shared" si="5"/>
        <v>9.5766887924724419E-4</v>
      </c>
      <c r="AW9" s="474">
        <f t="shared" si="6"/>
        <v>4.5975250389976297E-3</v>
      </c>
      <c r="AX9" s="474">
        <v>0</v>
      </c>
    </row>
    <row r="10" spans="1:50" x14ac:dyDescent="0.25">
      <c r="K10" s="337" t="s">
        <v>2193</v>
      </c>
      <c r="AG10" s="1">
        <v>0.3</v>
      </c>
      <c r="AH10" s="474">
        <v>3.0009999999999998E-2</v>
      </c>
      <c r="AJ10" s="471">
        <f t="shared" si="0"/>
        <v>5.9907836564590706</v>
      </c>
      <c r="AK10" s="472">
        <f t="shared" si="1"/>
        <v>0.43463135427610561</v>
      </c>
      <c r="AM10" s="469">
        <f>Vertical!$AJ9/$Z$2</f>
        <v>2.948220303375527</v>
      </c>
      <c r="AN10" s="470">
        <f>Vertical!$AK9/$Z$2</f>
        <v>0.1560787828607004</v>
      </c>
      <c r="AQ10" s="474">
        <v>6</v>
      </c>
      <c r="AR10" s="474">
        <f>ABS(Vertical!$AM10-AM9)</f>
        <v>0.58964406067510566</v>
      </c>
      <c r="AS10" s="474">
        <f t="shared" si="2"/>
        <v>0.3121575657214008</v>
      </c>
      <c r="AT10" s="474">
        <f t="shared" si="3"/>
        <v>3.2430423337130798</v>
      </c>
      <c r="AU10" s="474">
        <f t="shared" si="4"/>
        <v>0</v>
      </c>
      <c r="AV10" s="474">
        <f t="shared" si="5"/>
        <v>1.4946182411281767E-3</v>
      </c>
      <c r="AW10" s="474">
        <f t="shared" si="6"/>
        <v>5.3328872823079536E-3</v>
      </c>
      <c r="AX10" s="474">
        <v>0</v>
      </c>
    </row>
    <row r="11" spans="1:50" x14ac:dyDescent="0.25">
      <c r="A11" s="474" t="s">
        <v>2163</v>
      </c>
      <c r="B11" s="474">
        <f>MAX(AS5:AS21)*Z2</f>
        <v>0.89891708765168354</v>
      </c>
      <c r="C11" s="474" t="s">
        <v>1847</v>
      </c>
      <c r="K11" s="337">
        <v>1</v>
      </c>
      <c r="L11" s="474">
        <v>1.4503773772999999</v>
      </c>
      <c r="AG11" s="1">
        <v>0.25</v>
      </c>
      <c r="AH11" s="474">
        <v>2.971E-2</v>
      </c>
      <c r="AJ11" s="469">
        <f t="shared" si="0"/>
        <v>4.4930877423443034</v>
      </c>
      <c r="AK11" s="470">
        <f t="shared" si="1"/>
        <v>0.44945854382584177</v>
      </c>
      <c r="AM11" s="471">
        <f>Vertical!$AJ10/$Z$2</f>
        <v>2.3585762427004213</v>
      </c>
      <c r="AN11" s="472">
        <f>Vertical!$AK10/$Z$2</f>
        <v>0.1711147064079156</v>
      </c>
      <c r="AQ11" s="474">
        <v>7</v>
      </c>
      <c r="AR11" s="474">
        <f>ABS(Vertical!$AM11-AM10)</f>
        <v>0.58964406067510566</v>
      </c>
      <c r="AS11" s="474">
        <f t="shared" si="2"/>
        <v>0.34222941281583119</v>
      </c>
      <c r="AT11" s="474">
        <f t="shared" si="3"/>
        <v>2.6533982730379742</v>
      </c>
      <c r="AU11" s="474">
        <f t="shared" si="4"/>
        <v>0</v>
      </c>
      <c r="AV11" s="474">
        <f t="shared" si="5"/>
        <v>1.9695212851925104E-3</v>
      </c>
      <c r="AW11" s="474">
        <f t="shared" si="6"/>
        <v>5.8466335070863941E-3</v>
      </c>
      <c r="AX11" s="474">
        <v>0</v>
      </c>
    </row>
    <row r="12" spans="1:50" x14ac:dyDescent="0.25">
      <c r="A12" s="474" t="s">
        <v>2164</v>
      </c>
      <c r="B12" s="474">
        <f>B5*100</f>
        <v>14.976959141147677</v>
      </c>
      <c r="C12" s="474" t="s">
        <v>1847</v>
      </c>
      <c r="AG12" s="1">
        <v>0.2</v>
      </c>
      <c r="AH12" s="474">
        <v>2.869E-2</v>
      </c>
      <c r="AJ12" s="471">
        <f t="shared" si="0"/>
        <v>3.7442397852869194</v>
      </c>
      <c r="AK12" s="472">
        <f t="shared" si="1"/>
        <v>0.44496545608349752</v>
      </c>
      <c r="AM12" s="469">
        <f>Vertical!$AJ11/$Z$2</f>
        <v>1.7689321820253163</v>
      </c>
      <c r="AN12" s="470">
        <f>Vertical!$AK11/$Z$2</f>
        <v>0.17695218260859913</v>
      </c>
      <c r="AQ12" s="474">
        <v>8</v>
      </c>
      <c r="AR12" s="474">
        <f>ABS(Vertical!$AM12-AM11)</f>
        <v>0.589644060675105</v>
      </c>
      <c r="AS12" s="474">
        <f t="shared" si="2"/>
        <v>0.35390436521719826</v>
      </c>
      <c r="AT12" s="474">
        <f t="shared" si="3"/>
        <v>2.0637542123628689</v>
      </c>
      <c r="AU12" s="474">
        <f t="shared" si="4"/>
        <v>0</v>
      </c>
      <c r="AV12" s="474">
        <f t="shared" si="5"/>
        <v>2.1780429555006454E-3</v>
      </c>
      <c r="AW12" s="474">
        <f t="shared" si="6"/>
        <v>6.0460879237650604E-3</v>
      </c>
      <c r="AX12" s="474">
        <v>0</v>
      </c>
    </row>
    <row r="13" spans="1:50" x14ac:dyDescent="0.25">
      <c r="AG13" s="1">
        <v>0.15</v>
      </c>
      <c r="AH13" s="474">
        <v>2.673E-2</v>
      </c>
      <c r="AJ13" s="469">
        <f t="shared" si="0"/>
        <v>2.9953918282295353</v>
      </c>
      <c r="AK13" s="470">
        <f t="shared" si="1"/>
        <v>0.42968895775952692</v>
      </c>
      <c r="AM13" s="471">
        <f>Vertical!$AJ12/$Z$2</f>
        <v>1.4741101516877635</v>
      </c>
      <c r="AN13" s="472">
        <f>Vertical!$AK12/$Z$2</f>
        <v>0.17518325042657382</v>
      </c>
      <c r="AQ13" s="474">
        <v>9</v>
      </c>
      <c r="AR13" s="474">
        <f>ABS(Vertical!$AM13-AM12)</f>
        <v>0.29482203033755283</v>
      </c>
      <c r="AS13" s="474">
        <f t="shared" si="2"/>
        <v>0.35036650085314763</v>
      </c>
      <c r="AT13" s="474">
        <f t="shared" si="3"/>
        <v>1.6215211668565399</v>
      </c>
      <c r="AU13" s="474">
        <f t="shared" si="4"/>
        <v>0</v>
      </c>
      <c r="AV13" s="474">
        <f t="shared" si="5"/>
        <v>1.0566871208184312E-3</v>
      </c>
      <c r="AW13" s="474">
        <f t="shared" si="6"/>
        <v>7.4820589892977583E-4</v>
      </c>
      <c r="AX13" s="474">
        <v>0</v>
      </c>
    </row>
    <row r="14" spans="1:50" x14ac:dyDescent="0.25">
      <c r="A14" s="474" t="s">
        <v>2165</v>
      </c>
      <c r="B14" s="474">
        <f>(B12*B11^3)/12</f>
        <v>0.90656992438607142</v>
      </c>
      <c r="C14" s="474" t="s">
        <v>2195</v>
      </c>
      <c r="D14" s="474" t="s">
        <v>2196</v>
      </c>
      <c r="E14" s="474">
        <f>(B12^3*B11)/12</f>
        <v>251.65717958116807</v>
      </c>
      <c r="AG14" s="1">
        <v>0.1</v>
      </c>
      <c r="AH14" s="474">
        <v>2.341E-2</v>
      </c>
      <c r="AJ14" s="471">
        <f t="shared" si="0"/>
        <v>2.2465438711721517</v>
      </c>
      <c r="AK14" s="472">
        <f t="shared" si="1"/>
        <v>0.40033411784287742</v>
      </c>
      <c r="AM14" s="469">
        <f>Vertical!$AJ13/$Z$2</f>
        <v>1.1792881213502107</v>
      </c>
      <c r="AN14" s="470">
        <f>Vertical!$AK13/$Z$2</f>
        <v>0.16916888100768776</v>
      </c>
      <c r="AQ14" s="474">
        <v>10</v>
      </c>
      <c r="AR14" s="474">
        <f>ABS(Vertical!$AM14-AM13)</f>
        <v>0.29482203033755283</v>
      </c>
      <c r="AS14" s="474">
        <f t="shared" si="2"/>
        <v>0.33833776201537552</v>
      </c>
      <c r="AT14" s="474">
        <f t="shared" si="3"/>
        <v>1.3266991365189871</v>
      </c>
      <c r="AU14" s="474">
        <f t="shared" si="4"/>
        <v>0</v>
      </c>
      <c r="AV14" s="474">
        <f t="shared" si="5"/>
        <v>9.5154669132416518E-4</v>
      </c>
      <c r="AW14" s="474">
        <f t="shared" si="6"/>
        <v>7.2251858769085389E-4</v>
      </c>
      <c r="AX14" s="474">
        <v>0</v>
      </c>
    </row>
    <row r="15" spans="1:50" x14ac:dyDescent="0.25">
      <c r="E15" s="474">
        <f>B14/(100^4)</f>
        <v>9.0656992438607143E-9</v>
      </c>
      <c r="F15" s="474">
        <f>E14/(100^4)</f>
        <v>2.5165717958116808E-6</v>
      </c>
      <c r="AG15" s="1">
        <v>7.4999999999999997E-2</v>
      </c>
      <c r="AH15" s="474">
        <v>2.1000000000000001E-2</v>
      </c>
      <c r="AJ15" s="469">
        <f t="shared" si="0"/>
        <v>1.4976959141147677</v>
      </c>
      <c r="AK15" s="470">
        <f t="shared" si="1"/>
        <v>0.35061061349426714</v>
      </c>
      <c r="AM15" s="471">
        <f>Vertical!$AJ14/$Z$2</f>
        <v>0.88446609101265816</v>
      </c>
      <c r="AN15" s="472">
        <f>Vertical!$AK14/$Z$2</f>
        <v>0.15761185741845568</v>
      </c>
      <c r="AQ15" s="474">
        <v>11</v>
      </c>
      <c r="AR15" s="474">
        <f>ABS(Vertical!$AM15-AM14)</f>
        <v>0.2948220303375525</v>
      </c>
      <c r="AS15" s="474">
        <f t="shared" si="2"/>
        <v>0.31522371483691136</v>
      </c>
      <c r="AT15" s="474">
        <f t="shared" si="3"/>
        <v>1.0318771061814345</v>
      </c>
      <c r="AU15" s="474">
        <f t="shared" si="4"/>
        <v>0</v>
      </c>
      <c r="AV15" s="474">
        <f t="shared" si="5"/>
        <v>7.6954732878904556E-4</v>
      </c>
      <c r="AW15" s="474">
        <f t="shared" si="6"/>
        <v>6.7315865629057016E-4</v>
      </c>
      <c r="AX15" s="474">
        <v>0</v>
      </c>
    </row>
    <row r="16" spans="1:50" x14ac:dyDescent="0.25">
      <c r="A16" s="474" t="s">
        <v>2166</v>
      </c>
      <c r="AG16" s="1">
        <v>0.05</v>
      </c>
      <c r="AH16" s="474">
        <v>1.7770000000000001E-2</v>
      </c>
      <c r="AJ16" s="471">
        <f t="shared" si="0"/>
        <v>1.1232719355860759</v>
      </c>
      <c r="AK16" s="472">
        <f t="shared" si="1"/>
        <v>0.31451614196410127</v>
      </c>
      <c r="AM16" s="469">
        <f>Vertical!$AJ15/$Z$2</f>
        <v>0.58964406067510533</v>
      </c>
      <c r="AN16" s="470">
        <f>Vertical!$AK15/$Z$2</f>
        <v>0.13803567460404217</v>
      </c>
      <c r="AQ16" s="474">
        <v>12</v>
      </c>
      <c r="AR16" s="474">
        <f>ABS(Vertical!$AM16-AM15)</f>
        <v>0.29482203033755283</v>
      </c>
      <c r="AS16" s="474">
        <f t="shared" si="2"/>
        <v>0.27607134920808435</v>
      </c>
      <c r="AT16" s="474">
        <f t="shared" si="3"/>
        <v>0.73705507584388175</v>
      </c>
      <c r="AU16" s="474">
        <f t="shared" si="4"/>
        <v>0</v>
      </c>
      <c r="AV16" s="474">
        <f t="shared" si="5"/>
        <v>5.169430487800777E-4</v>
      </c>
      <c r="AW16" s="474">
        <f t="shared" si="6"/>
        <v>5.8954897657172839E-4</v>
      </c>
      <c r="AX16" s="474">
        <v>0</v>
      </c>
    </row>
    <row r="17" spans="1:50" x14ac:dyDescent="0.25">
      <c r="AG17" s="1">
        <v>2.5000000000000001E-2</v>
      </c>
      <c r="AH17" s="474">
        <v>1.307E-2</v>
      </c>
      <c r="AJ17" s="469">
        <f t="shared" si="0"/>
        <v>0.74884795705738383</v>
      </c>
      <c r="AK17" s="470">
        <f t="shared" si="1"/>
        <v>0.26614056393819424</v>
      </c>
      <c r="AM17" s="471">
        <f>Vertical!$AJ16/$Z$2</f>
        <v>0.44223304550632908</v>
      </c>
      <c r="AN17" s="472">
        <f>Vertical!$AK16/$Z$2</f>
        <v>0.12382525274177215</v>
      </c>
      <c r="AQ17" s="474">
        <v>13</v>
      </c>
      <c r="AR17" s="474">
        <f>ABS(Vertical!$AM17-AM16)</f>
        <v>0.14741101516877625</v>
      </c>
      <c r="AS17" s="474">
        <f t="shared" si="2"/>
        <v>0.24765050548354431</v>
      </c>
      <c r="AT17" s="474">
        <f t="shared" si="3"/>
        <v>0.51593855309071723</v>
      </c>
      <c r="AU17" s="474">
        <f t="shared" si="4"/>
        <v>0</v>
      </c>
      <c r="AV17" s="474">
        <f t="shared" si="5"/>
        <v>1.8658054069306342E-4</v>
      </c>
      <c r="AW17" s="474">
        <f t="shared" si="6"/>
        <v>6.6107050982519526E-5</v>
      </c>
      <c r="AX17" s="474">
        <v>0</v>
      </c>
    </row>
    <row r="18" spans="1:50" x14ac:dyDescent="0.25">
      <c r="A18" s="474" t="s">
        <v>2169</v>
      </c>
      <c r="B18" s="474">
        <f>V6*U3</f>
        <v>19.986250073141637</v>
      </c>
      <c r="C18" s="474" t="s">
        <v>2170</v>
      </c>
      <c r="AG18" s="1">
        <v>1.2500000000000001E-2</v>
      </c>
      <c r="AH18" s="474">
        <v>9.4699999999999993E-3</v>
      </c>
      <c r="AJ18" s="471">
        <f t="shared" si="0"/>
        <v>0.37442397852869191</v>
      </c>
      <c r="AK18" s="472">
        <f t="shared" si="1"/>
        <v>0.19574885597480013</v>
      </c>
      <c r="AM18" s="469">
        <f>Vertical!$AJ17/$Z$2</f>
        <v>0.29482203033755267</v>
      </c>
      <c r="AN18" s="470">
        <f>Vertical!$AK17/$Z$2</f>
        <v>0.10477974958196623</v>
      </c>
      <c r="AQ18" s="474">
        <v>14</v>
      </c>
      <c r="AR18" s="474">
        <f>ABS(Vertical!$AM18-AM17)</f>
        <v>0.14741101516877642</v>
      </c>
      <c r="AS18" s="474">
        <f t="shared" si="2"/>
        <v>0.20955949916393246</v>
      </c>
      <c r="AT18" s="474">
        <f t="shared" si="3"/>
        <v>0.36852753792194087</v>
      </c>
      <c r="AU18" s="474">
        <f t="shared" si="4"/>
        <v>0</v>
      </c>
      <c r="AV18" s="474">
        <f t="shared" si="5"/>
        <v>1.1305004680830479E-4</v>
      </c>
      <c r="AW18" s="474">
        <f t="shared" si="6"/>
        <v>5.5939156950446469E-5</v>
      </c>
      <c r="AX18" s="474">
        <v>0</v>
      </c>
    </row>
    <row r="19" spans="1:50" x14ac:dyDescent="0.25">
      <c r="AG19" s="1">
        <v>0</v>
      </c>
      <c r="AH19" s="474">
        <v>0</v>
      </c>
      <c r="AJ19" s="469">
        <f t="shared" si="0"/>
        <v>0.18721198926434596</v>
      </c>
      <c r="AK19" s="470">
        <f t="shared" si="1"/>
        <v>0.14183180306666851</v>
      </c>
      <c r="AM19" s="471">
        <f>Vertical!$AJ18/$Z$2</f>
        <v>0.14741101516877633</v>
      </c>
      <c r="AN19" s="472">
        <f>Vertical!$AK18/$Z$2</f>
        <v>7.7066478730236268E-2</v>
      </c>
      <c r="AQ19" s="474">
        <v>15</v>
      </c>
      <c r="AR19" s="474">
        <f>ABS(Vertical!$AM19-AM18)</f>
        <v>0.14741101516877633</v>
      </c>
      <c r="AS19" s="474">
        <f t="shared" si="2"/>
        <v>0.15413295746047254</v>
      </c>
      <c r="AT19" s="474">
        <f t="shared" si="3"/>
        <v>0.22111652275316451</v>
      </c>
      <c r="AU19" s="474">
        <f t="shared" si="4"/>
        <v>0</v>
      </c>
      <c r="AV19" s="474">
        <f t="shared" si="5"/>
        <v>4.4981633822514738E-5</v>
      </c>
      <c r="AW19" s="474">
        <f t="shared" si="6"/>
        <v>4.1143769349596727E-5</v>
      </c>
      <c r="AX19" s="474">
        <v>0</v>
      </c>
    </row>
    <row r="20" spans="1:50" x14ac:dyDescent="0.25">
      <c r="B20" s="474" t="s">
        <v>2171</v>
      </c>
      <c r="C20" s="474" t="s">
        <v>2172</v>
      </c>
      <c r="D20" s="474" t="s">
        <v>2192</v>
      </c>
      <c r="E20" s="474" t="s">
        <v>2194</v>
      </c>
      <c r="AG20" s="1"/>
      <c r="AJ20" s="465">
        <f t="shared" si="0"/>
        <v>0</v>
      </c>
      <c r="AK20" s="466">
        <f t="shared" si="1"/>
        <v>0</v>
      </c>
      <c r="AM20" s="469">
        <f>Vertical!$AJ19/$Z$2</f>
        <v>7.3705507584388166E-2</v>
      </c>
      <c r="AN20" s="470">
        <f>Vertical!$AK19/$Z$2</f>
        <v>5.5839292545932485E-2</v>
      </c>
      <c r="AQ20" s="474">
        <v>16</v>
      </c>
      <c r="AR20" s="474">
        <f>ABS(Vertical!$AM20-AM19)</f>
        <v>7.3705507584388166E-2</v>
      </c>
      <c r="AS20" s="474">
        <f>AN20-AN42</f>
        <v>0.11167858509186497</v>
      </c>
      <c r="AT20" s="474">
        <f t="shared" si="3"/>
        <v>0.11055826137658226</v>
      </c>
      <c r="AU20" s="474">
        <f t="shared" si="4"/>
        <v>0</v>
      </c>
      <c r="AV20" s="474">
        <f t="shared" si="5"/>
        <v>8.5551652838856519E-6</v>
      </c>
      <c r="AW20" s="474">
        <f t="shared" si="6"/>
        <v>3.7263915047884573E-6</v>
      </c>
      <c r="AX20" s="474">
        <v>0</v>
      </c>
    </row>
    <row r="21" spans="1:50" x14ac:dyDescent="0.25">
      <c r="A21" s="474">
        <v>0</v>
      </c>
      <c r="B21" s="474">
        <f>$B$18-$U$3*A21</f>
        <v>19.986250073141637</v>
      </c>
      <c r="C21" s="474">
        <f>B21*$W$6/$B$14</f>
        <v>9.9087677770654476</v>
      </c>
      <c r="D21" s="474">
        <f>B21*-$W$6/$B$14</f>
        <v>-9.9087677770654476</v>
      </c>
      <c r="E21" s="474">
        <f>D21*$L$11</f>
        <v>-14.371452620774935</v>
      </c>
      <c r="AG21" s="1">
        <v>1.2500000000000001E-2</v>
      </c>
      <c r="AH21" s="474">
        <v>-9.4699999999999993E-3</v>
      </c>
      <c r="AJ21" s="467"/>
      <c r="AK21" s="468"/>
      <c r="AM21" s="465">
        <f>Vertical!$AJ20/$Z$2</f>
        <v>0</v>
      </c>
      <c r="AN21" s="466">
        <f>Vertical!$AK20/$Z$2</f>
        <v>0</v>
      </c>
      <c r="AQ21" s="474">
        <v>17</v>
      </c>
      <c r="AR21" s="474">
        <f>ABS(Vertical!$AM21-AM20)</f>
        <v>7.3705507584388166E-2</v>
      </c>
      <c r="AS21" s="474">
        <f>AN20-AN42</f>
        <v>0.11167858509186497</v>
      </c>
      <c r="AT21" s="474">
        <f t="shared" si="3"/>
        <v>3.6852753792194083E-2</v>
      </c>
      <c r="AU21" s="474">
        <f t="shared" si="4"/>
        <v>0</v>
      </c>
      <c r="AV21" s="474">
        <f t="shared" si="5"/>
        <v>8.5551652838856519E-6</v>
      </c>
      <c r="AW21" s="474">
        <f t="shared" si="6"/>
        <v>3.7263915047884573E-6</v>
      </c>
      <c r="AX21" s="474">
        <v>0</v>
      </c>
    </row>
    <row r="22" spans="1:50" x14ac:dyDescent="0.25">
      <c r="A22" s="474">
        <f>$B$12/10+A21</f>
        <v>1.4976959141147677</v>
      </c>
      <c r="B22" s="474">
        <f t="shared" ref="B22:B31" si="7">$B$18-$U$3*A22</f>
        <v>17.987625065827473</v>
      </c>
      <c r="C22" s="474">
        <f t="shared" ref="C22:C31" si="8">B22*$W$6/$B$14</f>
        <v>8.9178909993589013</v>
      </c>
      <c r="D22" s="474">
        <f t="shared" ref="D22:D31" si="9">B22*-$W$6/$B$14</f>
        <v>-8.9178909993589013</v>
      </c>
      <c r="E22" s="474">
        <f t="shared" ref="E22:E31" si="10">D22*$L$11</f>
        <v>-12.934307358697438</v>
      </c>
      <c r="AG22" s="1">
        <v>2.5000000000000001E-2</v>
      </c>
      <c r="AH22" s="474">
        <v>-1.307E-2</v>
      </c>
      <c r="AJ22" s="469">
        <f>AG21*100*$B$5</f>
        <v>0.18721198926434596</v>
      </c>
      <c r="AK22" s="470">
        <f>AH21*100*$B$5</f>
        <v>-0.14183180306666851</v>
      </c>
    </row>
    <row r="23" spans="1:50" x14ac:dyDescent="0.25">
      <c r="A23" s="474">
        <f t="shared" ref="A23:A31" si="11">$B$12/10+A22</f>
        <v>2.9953918282295353</v>
      </c>
      <c r="B23" s="474">
        <f t="shared" si="7"/>
        <v>15.989000058513309</v>
      </c>
      <c r="C23" s="474">
        <f t="shared" si="8"/>
        <v>7.9270142216523576</v>
      </c>
      <c r="D23" s="474">
        <f t="shared" si="9"/>
        <v>-7.9270142216523576</v>
      </c>
      <c r="E23" s="474">
        <f t="shared" si="10"/>
        <v>-11.497162096619947</v>
      </c>
      <c r="AG23" s="1">
        <v>0.05</v>
      </c>
      <c r="AH23" s="474">
        <v>-1.7770000000000001E-2</v>
      </c>
      <c r="AJ23" s="471">
        <f t="shared" ref="AJ23:AK38" si="12">AG22*100*$B$5</f>
        <v>0.37442397852869191</v>
      </c>
      <c r="AK23" s="472">
        <f t="shared" si="12"/>
        <v>-0.19574885597480013</v>
      </c>
    </row>
    <row r="24" spans="1:50" x14ac:dyDescent="0.25">
      <c r="A24" s="474">
        <f t="shared" si="11"/>
        <v>4.4930877423443025</v>
      </c>
      <c r="B24" s="474">
        <f t="shared" si="7"/>
        <v>13.990375051199146</v>
      </c>
      <c r="C24" s="474">
        <f t="shared" si="8"/>
        <v>6.9361374439458139</v>
      </c>
      <c r="D24" s="474">
        <f t="shared" si="9"/>
        <v>-6.9361374439458139</v>
      </c>
      <c r="E24" s="474">
        <f t="shared" si="10"/>
        <v>-10.060016834542456</v>
      </c>
      <c r="AG24" s="1">
        <v>7.4999999999999997E-2</v>
      </c>
      <c r="AH24" s="474">
        <v>-2.1000000000000001E-2</v>
      </c>
      <c r="AJ24" s="469">
        <f>AG23*100*$B$5</f>
        <v>0.74884795705738383</v>
      </c>
      <c r="AK24" s="470">
        <f t="shared" si="12"/>
        <v>-0.26614056393819424</v>
      </c>
    </row>
    <row r="25" spans="1:50" x14ac:dyDescent="0.25">
      <c r="A25" s="474">
        <f t="shared" si="11"/>
        <v>5.9907836564590706</v>
      </c>
      <c r="B25" s="474">
        <f t="shared" si="7"/>
        <v>11.991750043884982</v>
      </c>
      <c r="C25" s="474">
        <f t="shared" si="8"/>
        <v>5.9452606662392684</v>
      </c>
      <c r="D25" s="474">
        <f t="shared" si="9"/>
        <v>-5.9452606662392684</v>
      </c>
      <c r="E25" s="474">
        <f t="shared" si="10"/>
        <v>-8.6228715724649607</v>
      </c>
      <c r="AG25" s="1">
        <v>0.1</v>
      </c>
      <c r="AH25" s="474">
        <v>-2.341E-2</v>
      </c>
      <c r="AJ25" s="471">
        <f t="shared" si="12"/>
        <v>1.1232719355860759</v>
      </c>
      <c r="AK25" s="472">
        <f t="shared" si="12"/>
        <v>-0.31451614196410127</v>
      </c>
      <c r="AM25" s="474" t="s">
        <v>2287</v>
      </c>
      <c r="AN25" s="474" t="s">
        <v>2288</v>
      </c>
    </row>
    <row r="26" spans="1:50" x14ac:dyDescent="0.25">
      <c r="A26" s="474">
        <f t="shared" si="11"/>
        <v>7.4884795705738387</v>
      </c>
      <c r="B26" s="474">
        <f t="shared" si="7"/>
        <v>9.9931250365708184</v>
      </c>
      <c r="C26" s="474">
        <f t="shared" si="8"/>
        <v>4.9543838885327238</v>
      </c>
      <c r="D26" s="474">
        <f t="shared" si="9"/>
        <v>-4.9543838885327238</v>
      </c>
      <c r="E26" s="474">
        <f t="shared" si="10"/>
        <v>-7.1857263103874676</v>
      </c>
      <c r="AG26" s="1">
        <v>0.15</v>
      </c>
      <c r="AH26" s="474">
        <v>-2.673E-2</v>
      </c>
      <c r="AJ26" s="469">
        <f t="shared" si="12"/>
        <v>1.4976959141147677</v>
      </c>
      <c r="AK26" s="470">
        <f t="shared" si="12"/>
        <v>-0.35061061349426714</v>
      </c>
      <c r="AM26" s="474">
        <f>Vertical!$AJ38/$Z$2</f>
        <v>5.896440606751054</v>
      </c>
      <c r="AN26" s="474">
        <f>Vertical!$AK38/$Z$2</f>
        <v>0</v>
      </c>
    </row>
    <row r="27" spans="1:50" x14ac:dyDescent="0.25">
      <c r="A27" s="474">
        <f t="shared" si="11"/>
        <v>8.9861754846886068</v>
      </c>
      <c r="B27" s="474">
        <f t="shared" si="7"/>
        <v>7.9945000292566544</v>
      </c>
      <c r="C27" s="474">
        <f t="shared" si="8"/>
        <v>3.9635071108261788</v>
      </c>
      <c r="D27" s="474">
        <f t="shared" si="9"/>
        <v>-3.9635071108261788</v>
      </c>
      <c r="E27" s="474">
        <f t="shared" si="10"/>
        <v>-5.7485810483099735</v>
      </c>
      <c r="AG27" s="1">
        <v>0.2</v>
      </c>
      <c r="AH27" s="474">
        <v>-2.869E-2</v>
      </c>
      <c r="AJ27" s="471">
        <f t="shared" si="12"/>
        <v>2.2465438711721517</v>
      </c>
      <c r="AK27" s="472">
        <f t="shared" si="12"/>
        <v>-0.40033411784287742</v>
      </c>
      <c r="AM27" s="474">
        <f>Vertical!$AJ37/$Z$2</f>
        <v>5.6016185764135011</v>
      </c>
      <c r="AN27" s="474">
        <f>Vertical!$AK37/$Z$2</f>
        <v>-2.3762655645206746E-2</v>
      </c>
    </row>
    <row r="28" spans="1:50" x14ac:dyDescent="0.25">
      <c r="A28" s="474">
        <f t="shared" si="11"/>
        <v>10.483871398803375</v>
      </c>
      <c r="B28" s="474">
        <f t="shared" si="7"/>
        <v>5.9958750219424903</v>
      </c>
      <c r="C28" s="474">
        <f t="shared" si="8"/>
        <v>2.9726303331196338</v>
      </c>
      <c r="D28" s="474">
        <f t="shared" si="9"/>
        <v>-2.9726303331196338</v>
      </c>
      <c r="E28" s="474">
        <f t="shared" si="10"/>
        <v>-4.3114357862324795</v>
      </c>
      <c r="AG28" s="1">
        <v>0.25</v>
      </c>
      <c r="AH28" s="474">
        <v>-2.971E-2</v>
      </c>
      <c r="AJ28" s="469">
        <f t="shared" si="12"/>
        <v>2.9953918282295353</v>
      </c>
      <c r="AK28" s="470">
        <f t="shared" si="12"/>
        <v>-0.42968895775952692</v>
      </c>
      <c r="AM28" s="474">
        <f>Vertical!$AJ36/$Z$2</f>
        <v>5.3067965460759483</v>
      </c>
      <c r="AN28" s="474">
        <f>Vertical!$AK36/$Z$2</f>
        <v>-4.269022999287763E-2</v>
      </c>
    </row>
    <row r="29" spans="1:50" x14ac:dyDescent="0.25">
      <c r="A29" s="474">
        <f t="shared" si="11"/>
        <v>11.981567312918143</v>
      </c>
      <c r="B29" s="474">
        <f t="shared" si="7"/>
        <v>3.9972500146283263</v>
      </c>
      <c r="C29" s="474">
        <f t="shared" si="8"/>
        <v>1.9817535554130887</v>
      </c>
      <c r="D29" s="474">
        <f t="shared" si="9"/>
        <v>-1.9817535554130887</v>
      </c>
      <c r="E29" s="474">
        <f t="shared" si="10"/>
        <v>-2.8742905241549859</v>
      </c>
      <c r="AG29" s="1">
        <v>0.3</v>
      </c>
      <c r="AH29" s="474">
        <v>-3.0009999999999998E-2</v>
      </c>
      <c r="AJ29" s="471">
        <f>AG28*100*$B$5</f>
        <v>3.7442397852869194</v>
      </c>
      <c r="AK29" s="472">
        <f t="shared" si="12"/>
        <v>-0.44496545608349752</v>
      </c>
      <c r="AM29" s="474">
        <f>Vertical!$AJ35/$Z$2</f>
        <v>4.7171524854008426</v>
      </c>
      <c r="AN29" s="474">
        <f>Vertical!$AK35/$Z$2</f>
        <v>-7.7361300760573834E-2</v>
      </c>
    </row>
    <row r="30" spans="1:50" x14ac:dyDescent="0.25">
      <c r="A30" s="474">
        <f t="shared" si="11"/>
        <v>13.479263227032911</v>
      </c>
      <c r="B30" s="474">
        <f t="shared" si="7"/>
        <v>1.9986250073141605</v>
      </c>
      <c r="C30" s="474">
        <f t="shared" si="8"/>
        <v>0.99087677770654314</v>
      </c>
      <c r="D30" s="474">
        <f t="shared" si="9"/>
        <v>-0.99087677770654314</v>
      </c>
      <c r="E30" s="474">
        <f t="shared" si="10"/>
        <v>-1.4371452620774912</v>
      </c>
      <c r="AG30" s="1">
        <v>0.4</v>
      </c>
      <c r="AH30" s="474">
        <v>-2.9020000000000001E-2</v>
      </c>
      <c r="AJ30" s="469">
        <f t="shared" si="12"/>
        <v>4.4930877423443034</v>
      </c>
      <c r="AK30" s="470">
        <f t="shared" si="12"/>
        <v>-0.44945854382584177</v>
      </c>
      <c r="AM30" s="474">
        <f>Vertical!$AJ34/$Z$2</f>
        <v>4.1275084247257379</v>
      </c>
      <c r="AN30" s="474">
        <f>Vertical!$AK34/$Z$2</f>
        <v>-0.1080227919156793</v>
      </c>
    </row>
    <row r="31" spans="1:50" x14ac:dyDescent="0.25">
      <c r="A31" s="474">
        <f t="shared" si="11"/>
        <v>14.976959141147679</v>
      </c>
      <c r="B31" s="474">
        <f t="shared" si="7"/>
        <v>0</v>
      </c>
      <c r="C31" s="474">
        <f t="shared" si="8"/>
        <v>0</v>
      </c>
      <c r="D31" s="474">
        <f t="shared" si="9"/>
        <v>0</v>
      </c>
      <c r="E31" s="474">
        <f t="shared" si="10"/>
        <v>0</v>
      </c>
      <c r="AG31" s="1">
        <v>0.5</v>
      </c>
      <c r="AH31" s="474">
        <v>-2.647E-2</v>
      </c>
      <c r="AJ31" s="471">
        <f t="shared" si="12"/>
        <v>5.9907836564590706</v>
      </c>
      <c r="AK31" s="472">
        <f t="shared" si="12"/>
        <v>-0.43463135427610561</v>
      </c>
      <c r="AM31" s="474">
        <f>Vertical!$AJ33/$Z$2</f>
        <v>3.5378643640506326</v>
      </c>
      <c r="AN31" s="474">
        <f>Vertical!$AK33/$Z$2</f>
        <v>-0.13455677464605906</v>
      </c>
    </row>
    <row r="32" spans="1:50" x14ac:dyDescent="0.25">
      <c r="AG32" s="1">
        <v>0.6</v>
      </c>
      <c r="AH32" s="474">
        <v>-2.282E-2</v>
      </c>
      <c r="AJ32" s="469">
        <f>AG31*100*$B$5</f>
        <v>7.4884795705738387</v>
      </c>
      <c r="AK32" s="470">
        <f>AH31*100*$B$5</f>
        <v>-0.39644010846617905</v>
      </c>
      <c r="AM32" s="474">
        <f>Vertical!$AJ32/$Z$2</f>
        <v>2.948220303375527</v>
      </c>
      <c r="AN32" s="474">
        <f>Vertical!$AK32/$Z$2</f>
        <v>-0.1560787828607004</v>
      </c>
    </row>
    <row r="33" spans="1:40" x14ac:dyDescent="0.25">
      <c r="AG33" s="1">
        <v>0.7</v>
      </c>
      <c r="AH33" s="474">
        <v>-1.8319999999999999E-2</v>
      </c>
      <c r="AJ33" s="471">
        <f t="shared" si="12"/>
        <v>8.9861754846886068</v>
      </c>
      <c r="AK33" s="472">
        <f t="shared" si="12"/>
        <v>-0.34177420760099003</v>
      </c>
      <c r="AM33" s="474">
        <f>Vertical!$AJ31/$Z$2</f>
        <v>2.3585762427004213</v>
      </c>
      <c r="AN33" s="474">
        <f>Vertical!$AK31/$Z$2</f>
        <v>-0.1711147064079156</v>
      </c>
    </row>
    <row r="34" spans="1:40" x14ac:dyDescent="0.25">
      <c r="A34" s="474" t="s">
        <v>2173</v>
      </c>
      <c r="AG34" s="1">
        <v>0.8</v>
      </c>
      <c r="AH34" s="474">
        <v>-1.312E-2</v>
      </c>
      <c r="AJ34" s="469">
        <f t="shared" si="12"/>
        <v>10.483871398803375</v>
      </c>
      <c r="AK34" s="470">
        <f t="shared" si="12"/>
        <v>-0.27437789146582542</v>
      </c>
      <c r="AM34" s="474">
        <f>Vertical!$AJ30/$Z$2</f>
        <v>1.7689321820253163</v>
      </c>
      <c r="AN34" s="474">
        <f>Vertical!$AK30/$Z$2</f>
        <v>-0.17695218260859913</v>
      </c>
    </row>
    <row r="35" spans="1:40" x14ac:dyDescent="0.25">
      <c r="AG35" s="1">
        <v>0.9</v>
      </c>
      <c r="AH35" s="474">
        <v>-7.2399999999999999E-3</v>
      </c>
      <c r="AJ35" s="471">
        <f t="shared" si="12"/>
        <v>11.981567312918141</v>
      </c>
      <c r="AK35" s="472">
        <f t="shared" si="12"/>
        <v>-0.19649770393185753</v>
      </c>
      <c r="AM35" s="474">
        <f>Vertical!$AJ29/$Z$2</f>
        <v>1.4741101516877635</v>
      </c>
      <c r="AN35" s="474">
        <f>Vertical!$AK29/$Z$2</f>
        <v>-0.17518325042657382</v>
      </c>
    </row>
    <row r="36" spans="1:40" x14ac:dyDescent="0.25">
      <c r="A36" s="474" t="s">
        <v>2191</v>
      </c>
      <c r="AG36" s="1">
        <v>0.95</v>
      </c>
      <c r="AH36" s="474">
        <v>-4.0299999999999997E-3</v>
      </c>
      <c r="AJ36" s="469">
        <f t="shared" si="12"/>
        <v>13.479263227032909</v>
      </c>
      <c r="AK36" s="470">
        <f t="shared" si="12"/>
        <v>-0.10843318418190918</v>
      </c>
      <c r="AM36" s="474">
        <f>Vertical!$AJ28/$Z$2</f>
        <v>1.1792881213502107</v>
      </c>
      <c r="AN36" s="474">
        <f>Vertical!$AK28/$Z$2</f>
        <v>-0.16916888100768776</v>
      </c>
    </row>
    <row r="37" spans="1:40" x14ac:dyDescent="0.25">
      <c r="A37" s="474" t="s">
        <v>2191</v>
      </c>
      <c r="AG37" s="1">
        <v>1</v>
      </c>
      <c r="AH37" s="474">
        <v>-6.3000000000000003E-4</v>
      </c>
      <c r="AJ37" s="471">
        <f t="shared" si="12"/>
        <v>14.228111184090293</v>
      </c>
      <c r="AK37" s="472">
        <f t="shared" si="12"/>
        <v>-6.0357145338825136E-2</v>
      </c>
      <c r="AM37" s="474">
        <f>Vertical!$AJ27/$Z$2</f>
        <v>0.88446609101265816</v>
      </c>
      <c r="AN37" s="474">
        <f>Vertical!$AK27/$Z$2</f>
        <v>-0.15761185741845568</v>
      </c>
    </row>
    <row r="38" spans="1:40" x14ac:dyDescent="0.25">
      <c r="AJ38" s="469">
        <f t="shared" si="12"/>
        <v>14.976959141147677</v>
      </c>
      <c r="AK38" s="470">
        <v>0</v>
      </c>
      <c r="AM38" s="474">
        <f>Vertical!$AJ26/$Z$2</f>
        <v>0.58964406067510533</v>
      </c>
      <c r="AN38" s="474">
        <f>Vertical!$AK26/$Z$2</f>
        <v>-0.13803567460404217</v>
      </c>
    </row>
    <row r="39" spans="1:40" x14ac:dyDescent="0.25">
      <c r="AJ39" s="465"/>
      <c r="AK39" s="466"/>
      <c r="AM39" s="474">
        <f>Vertical!$AJ25/$Z$2</f>
        <v>0.44223304550632908</v>
      </c>
      <c r="AN39" s="474">
        <f>Vertical!$AK25/$Z$2</f>
        <v>-0.12382525274177215</v>
      </c>
    </row>
    <row r="40" spans="1:40" x14ac:dyDescent="0.25">
      <c r="AM40" s="474">
        <f>Vertical!$AJ24/$Z$2</f>
        <v>0.29482203033755267</v>
      </c>
      <c r="AN40" s="474">
        <f>Vertical!$AK24/$Z$2</f>
        <v>-0.10477974958196623</v>
      </c>
    </row>
    <row r="41" spans="1:40" x14ac:dyDescent="0.25">
      <c r="AM41" s="474">
        <f>Vertical!$AJ23/$Z$2</f>
        <v>0.14741101516877633</v>
      </c>
      <c r="AN41" s="474">
        <f>Vertical!$AK23/$Z$2</f>
        <v>-7.7066478730236268E-2</v>
      </c>
    </row>
    <row r="42" spans="1:40" ht="15.75" thickBot="1" x14ac:dyDescent="0.3">
      <c r="AM42" s="474">
        <f>Vertical!$AJ22/$Z$2</f>
        <v>7.3705507584388166E-2</v>
      </c>
      <c r="AN42" s="474">
        <f>Vertical!$AK22/$Z$2</f>
        <v>-5.5839292545932485E-2</v>
      </c>
    </row>
    <row r="43" spans="1:40" s="504" customFormat="1" ht="15.75" thickTop="1" x14ac:dyDescent="0.25">
      <c r="A43" s="503" t="s">
        <v>2323</v>
      </c>
      <c r="K43" s="537"/>
      <c r="L43" s="537"/>
      <c r="M43" s="537"/>
      <c r="N43" s="537"/>
      <c r="O43" s="537"/>
      <c r="P43" s="537"/>
    </row>
    <row r="44" spans="1:40" s="89" customFormat="1" x14ac:dyDescent="0.25">
      <c r="A44" s="194" t="s">
        <v>771</v>
      </c>
      <c r="B44" s="89" t="s">
        <v>2030</v>
      </c>
      <c r="E44" s="89" t="s">
        <v>2312</v>
      </c>
      <c r="F44" s="89">
        <f>B7*100/(Z2*2)</f>
        <v>4.4223304550632907</v>
      </c>
      <c r="J44" s="141" t="s">
        <v>2309</v>
      </c>
      <c r="K44" s="197"/>
      <c r="L44" s="197"/>
      <c r="M44" s="197"/>
      <c r="N44" s="197"/>
      <c r="O44" s="196"/>
      <c r="P44" s="196"/>
      <c r="S44" s="196"/>
      <c r="T44" s="196"/>
      <c r="U44" s="196"/>
      <c r="V44" s="196"/>
      <c r="X44" s="196"/>
    </row>
    <row r="45" spans="1:40" s="89" customFormat="1" x14ac:dyDescent="0.25">
      <c r="A45" s="194" t="s">
        <v>2022</v>
      </c>
      <c r="B45" s="194"/>
      <c r="C45" s="194" t="s">
        <v>723</v>
      </c>
      <c r="E45" s="167" t="s">
        <v>2313</v>
      </c>
      <c r="F45" s="167">
        <f>B5*100/Z2</f>
        <v>5.896440606751054</v>
      </c>
      <c r="G45" s="194"/>
      <c r="J45" s="141" t="str">
        <f>N375</f>
        <v>y = -7E-06x4 + 5E-05x3 - 0.0001x2 + 9E-05x + 0.0017</v>
      </c>
      <c r="K45" s="141"/>
      <c r="L45" s="141"/>
      <c r="M45" s="141"/>
      <c r="N45" s="141"/>
      <c r="O45" s="19"/>
      <c r="P45" s="19"/>
      <c r="Z45" s="196"/>
      <c r="AA45" s="196"/>
      <c r="AB45" s="196"/>
      <c r="AC45" s="196"/>
      <c r="AE45" s="196"/>
    </row>
    <row r="46" spans="1:40" s="89" customFormat="1" x14ac:dyDescent="0.25">
      <c r="A46" s="141" t="s">
        <v>2018</v>
      </c>
      <c r="B46" s="141"/>
      <c r="C46" s="141" t="s">
        <v>2021</v>
      </c>
      <c r="E46" s="19"/>
      <c r="F46" s="19"/>
      <c r="G46" s="19"/>
      <c r="J46" s="141" t="str">
        <f>AC374</f>
        <v>a</v>
      </c>
      <c r="K46" s="141" t="str">
        <f>AD374</f>
        <v>b</v>
      </c>
      <c r="L46" s="141" t="str">
        <f t="shared" ref="L46:N47" si="13">AE374</f>
        <v>c</v>
      </c>
      <c r="M46" s="141" t="str">
        <f t="shared" si="13"/>
        <v>d</v>
      </c>
      <c r="N46" s="141" t="str">
        <f t="shared" si="13"/>
        <v>e</v>
      </c>
    </row>
    <row r="47" spans="1:40" s="89" customFormat="1" x14ac:dyDescent="0.25">
      <c r="A47" s="141" t="s">
        <v>2019</v>
      </c>
      <c r="B47" s="141"/>
      <c r="C47" s="141" t="s">
        <v>2021</v>
      </c>
      <c r="E47" s="19"/>
      <c r="F47" s="19"/>
      <c r="G47" s="19"/>
      <c r="J47" s="141" t="str">
        <f t="shared" ref="J47:K47" si="14">AC375</f>
        <v>-7E-06</v>
      </c>
      <c r="K47" s="141" t="str">
        <f t="shared" si="14"/>
        <v>5E-05</v>
      </c>
      <c r="L47" s="141">
        <f t="shared" si="13"/>
        <v>-1E-4</v>
      </c>
      <c r="M47" s="141" t="str">
        <f t="shared" si="13"/>
        <v>9E-05</v>
      </c>
      <c r="N47" s="141" t="str">
        <f t="shared" si="13"/>
        <v>0.0017</v>
      </c>
    </row>
    <row r="48" spans="1:40" s="89" customFormat="1" x14ac:dyDescent="0.25">
      <c r="A48" s="141" t="s">
        <v>2020</v>
      </c>
      <c r="B48" s="141"/>
      <c r="C48" s="141" t="s">
        <v>2021</v>
      </c>
      <c r="E48" s="19"/>
      <c r="F48" s="19"/>
      <c r="G48" s="19"/>
    </row>
    <row r="49" spans="1:16" s="89" customFormat="1" x14ac:dyDescent="0.25">
      <c r="J49"/>
    </row>
    <row r="50" spans="1:16" s="89" customFormat="1" x14ac:dyDescent="0.25"/>
    <row r="51" spans="1:16" s="89" customFormat="1" x14ac:dyDescent="0.25">
      <c r="A51" s="196" t="s">
        <v>2023</v>
      </c>
    </row>
    <row r="52" spans="1:16" s="89" customFormat="1" x14ac:dyDescent="0.25">
      <c r="A52" s="19" t="s">
        <v>2024</v>
      </c>
      <c r="B52" s="89">
        <v>0</v>
      </c>
      <c r="E52" s="73"/>
    </row>
    <row r="53" spans="1:16" s="89" customFormat="1" x14ac:dyDescent="0.25">
      <c r="A53" s="19"/>
    </row>
    <row r="54" spans="1:16" s="89" customFormat="1" x14ac:dyDescent="0.25">
      <c r="A54" s="19"/>
    </row>
    <row r="55" spans="1:16" s="89" customFormat="1" x14ac:dyDescent="0.25">
      <c r="A55" s="19"/>
    </row>
    <row r="56" spans="1:16" s="89" customFormat="1" x14ac:dyDescent="0.25">
      <c r="A56" s="19"/>
    </row>
    <row r="57" spans="1:16" s="89" customFormat="1" x14ac:dyDescent="0.25">
      <c r="A57" s="19"/>
    </row>
    <row r="58" spans="1:16" s="89" customFormat="1" x14ac:dyDescent="0.25">
      <c r="J58" s="19"/>
      <c r="K58" s="19"/>
      <c r="L58" s="19"/>
      <c r="M58" s="19"/>
      <c r="N58" s="19"/>
      <c r="O58" s="19"/>
      <c r="P58" s="19"/>
    </row>
    <row r="59" spans="1:16" s="89" customFormat="1" x14ac:dyDescent="0.25">
      <c r="A59" s="19" t="s">
        <v>2310</v>
      </c>
      <c r="B59" s="73" t="str">
        <f>J45</f>
        <v>y = -7E-06x4 + 5E-05x3 - 0.0001x2 + 9E-05x + 0.0017</v>
      </c>
      <c r="C59" s="73"/>
      <c r="D59" s="73"/>
      <c r="E59" s="73"/>
      <c r="J59" s="19"/>
      <c r="K59" s="532"/>
      <c r="L59" s="532"/>
      <c r="M59" s="532"/>
      <c r="N59" s="532"/>
      <c r="O59" s="532"/>
      <c r="P59" s="532"/>
    </row>
    <row r="60" spans="1:16" s="89" customFormat="1" x14ac:dyDescent="0.25">
      <c r="A60" s="19"/>
      <c r="J60" s="19"/>
      <c r="K60" s="196"/>
      <c r="L60" s="196"/>
      <c r="M60" s="196"/>
      <c r="N60" s="196"/>
      <c r="O60" s="196"/>
      <c r="P60" s="196"/>
    </row>
    <row r="61" spans="1:16" s="89" customFormat="1" x14ac:dyDescent="0.25">
      <c r="A61" s="19"/>
      <c r="J61" s="19"/>
      <c r="K61" s="19"/>
      <c r="L61" s="19"/>
      <c r="M61" s="19"/>
      <c r="N61" s="19"/>
      <c r="O61" s="19"/>
      <c r="P61" s="19"/>
    </row>
    <row r="62" spans="1:16" s="89" customFormat="1" x14ac:dyDescent="0.25">
      <c r="A62" s="19"/>
    </row>
    <row r="63" spans="1:16" s="89" customFormat="1" x14ac:dyDescent="0.25">
      <c r="A63" s="19"/>
    </row>
    <row r="64" spans="1:16" s="89" customFormat="1" x14ac:dyDescent="0.25">
      <c r="A64" s="19"/>
    </row>
    <row r="65" spans="1:8" s="89" customFormat="1" x14ac:dyDescent="0.25">
      <c r="A65" s="19"/>
    </row>
    <row r="66" spans="1:8" s="89" customFormat="1" x14ac:dyDescent="0.25"/>
    <row r="67" spans="1:8" s="89" customFormat="1" x14ac:dyDescent="0.25"/>
    <row r="68" spans="1:8" s="89" customFormat="1" x14ac:dyDescent="0.25">
      <c r="A68" s="19" t="s">
        <v>2026</v>
      </c>
      <c r="B68" s="73">
        <v>0</v>
      </c>
      <c r="C68" s="73"/>
      <c r="D68" s="474"/>
      <c r="E68" s="73"/>
    </row>
    <row r="69" spans="1:8" s="89" customFormat="1" x14ac:dyDescent="0.25">
      <c r="A69" s="19"/>
    </row>
    <row r="70" spans="1:8" s="89" customFormat="1" x14ac:dyDescent="0.25">
      <c r="A70" s="19"/>
    </row>
    <row r="71" spans="1:8" s="89" customFormat="1" x14ac:dyDescent="0.25">
      <c r="A71" s="19"/>
    </row>
    <row r="72" spans="1:8" s="89" customFormat="1" x14ac:dyDescent="0.25">
      <c r="A72" s="19"/>
    </row>
    <row r="73" spans="1:8" s="89" customFormat="1" x14ac:dyDescent="0.25">
      <c r="A73" s="19"/>
    </row>
    <row r="74" spans="1:8" s="89" customFormat="1" x14ac:dyDescent="0.25">
      <c r="A74" s="19"/>
    </row>
    <row r="75" spans="1:8" s="89" customFormat="1" x14ac:dyDescent="0.25"/>
    <row r="76" spans="1:8" s="89" customFormat="1" x14ac:dyDescent="0.25"/>
    <row r="77" spans="1:8" s="89" customFormat="1" x14ac:dyDescent="0.25">
      <c r="A77" s="89" t="s">
        <v>2321</v>
      </c>
      <c r="B77" s="73" t="s">
        <v>2311</v>
      </c>
      <c r="C77" s="73"/>
      <c r="D77" s="73"/>
      <c r="E77" s="73"/>
      <c r="F77" s="474"/>
      <c r="G77" s="73"/>
      <c r="H77" s="73"/>
    </row>
    <row r="78" spans="1:8" s="89" customFormat="1" x14ac:dyDescent="0.25"/>
    <row r="79" spans="1:8" s="89" customFormat="1" x14ac:dyDescent="0.25"/>
    <row r="80" spans="1:8" s="89" customFormat="1" x14ac:dyDescent="0.25"/>
    <row r="81" spans="1:2" s="89" customFormat="1" x14ac:dyDescent="0.25"/>
    <row r="82" spans="1:2" s="89" customFormat="1" x14ac:dyDescent="0.25"/>
    <row r="83" spans="1:2" s="89" customFormat="1" x14ac:dyDescent="0.25"/>
    <row r="84" spans="1:2" s="89" customFormat="1" x14ac:dyDescent="0.25"/>
    <row r="85" spans="1:2" s="89" customFormat="1" x14ac:dyDescent="0.25"/>
    <row r="86" spans="1:2" s="89" customFormat="1" x14ac:dyDescent="0.25">
      <c r="A86" s="89" t="s">
        <v>2028</v>
      </c>
      <c r="B86" s="89">
        <v>0</v>
      </c>
    </row>
    <row r="87" spans="1:2" s="89" customFormat="1" ht="13.5" customHeight="1" x14ac:dyDescent="0.25"/>
    <row r="88" spans="1:2" s="89" customFormat="1" ht="13.5" customHeight="1" x14ac:dyDescent="0.25"/>
    <row r="89" spans="1:2" s="89" customFormat="1" ht="13.5" customHeight="1" x14ac:dyDescent="0.25"/>
    <row r="90" spans="1:2" s="89" customFormat="1" ht="13.5" customHeight="1" x14ac:dyDescent="0.25"/>
    <row r="91" spans="1:2" s="89" customFormat="1" ht="13.5" customHeight="1" x14ac:dyDescent="0.25"/>
    <row r="92" spans="1:2" s="89" customFormat="1" ht="13.5" customHeight="1" x14ac:dyDescent="0.25"/>
    <row r="93" spans="1:2" s="89" customFormat="1" ht="13.5" customHeight="1" x14ac:dyDescent="0.25"/>
    <row r="94" spans="1:2" s="89" customFormat="1" ht="13.5" customHeight="1" x14ac:dyDescent="0.25"/>
    <row r="95" spans="1:2" s="89" customFormat="1" ht="13.5" customHeight="1" x14ac:dyDescent="0.25"/>
    <row r="96" spans="1:2" s="89" customFormat="1" x14ac:dyDescent="0.25"/>
    <row r="97" spans="1:2" s="89" customFormat="1" x14ac:dyDescent="0.25">
      <c r="A97" s="89" t="s">
        <v>2029</v>
      </c>
      <c r="B97" s="89">
        <v>0</v>
      </c>
    </row>
    <row r="98" spans="1:2" s="89" customFormat="1" x14ac:dyDescent="0.25"/>
    <row r="99" spans="1:2" s="89" customFormat="1" x14ac:dyDescent="0.25"/>
    <row r="100" spans="1:2" s="89" customFormat="1" x14ac:dyDescent="0.25"/>
    <row r="101" spans="1:2" s="89" customFormat="1" x14ac:dyDescent="0.25"/>
    <row r="102" spans="1:2" s="89" customFormat="1" x14ac:dyDescent="0.25"/>
    <row r="103" spans="1:2" s="89" customFormat="1" x14ac:dyDescent="0.25"/>
    <row r="104" spans="1:2" s="89" customFormat="1" x14ac:dyDescent="0.25"/>
    <row r="105" spans="1:2" s="89" customFormat="1" x14ac:dyDescent="0.25"/>
    <row r="106" spans="1:2" s="89" customFormat="1" x14ac:dyDescent="0.25">
      <c r="A106" s="194" t="s">
        <v>2032</v>
      </c>
    </row>
    <row r="107" spans="1:2" s="89" customFormat="1" x14ac:dyDescent="0.25">
      <c r="A107" s="194"/>
    </row>
    <row r="108" spans="1:2" s="89" customFormat="1" x14ac:dyDescent="0.25">
      <c r="A108" s="167" t="s">
        <v>2033</v>
      </c>
      <c r="B108" s="73">
        <v>0</v>
      </c>
    </row>
    <row r="109" spans="1:2" s="89" customFormat="1" x14ac:dyDescent="0.25">
      <c r="A109" s="194"/>
    </row>
    <row r="110" spans="1:2" s="89" customFormat="1" x14ac:dyDescent="0.25">
      <c r="A110" s="194"/>
    </row>
    <row r="111" spans="1:2" s="89" customFormat="1" x14ac:dyDescent="0.25">
      <c r="A111" s="194"/>
    </row>
    <row r="112" spans="1:2" s="89" customFormat="1" x14ac:dyDescent="0.25">
      <c r="A112" s="194"/>
    </row>
    <row r="113" spans="1:6" s="89" customFormat="1" x14ac:dyDescent="0.25">
      <c r="A113" s="194"/>
    </row>
    <row r="114" spans="1:6" s="89" customFormat="1" x14ac:dyDescent="0.25">
      <c r="A114" s="194"/>
    </row>
    <row r="115" spans="1:6" s="89" customFormat="1" x14ac:dyDescent="0.25">
      <c r="A115" s="194"/>
    </row>
    <row r="116" spans="1:6" s="89" customFormat="1" x14ac:dyDescent="0.25">
      <c r="A116" s="194"/>
    </row>
    <row r="117" spans="1:6" s="89" customFormat="1" x14ac:dyDescent="0.25">
      <c r="A117" s="167" t="s">
        <v>2073</v>
      </c>
      <c r="B117" s="507"/>
      <c r="C117" s="89" t="s">
        <v>1942</v>
      </c>
      <c r="D117" s="89" t="s">
        <v>2318</v>
      </c>
      <c r="E117" s="89">
        <f>((J47*F44^5)/5)+((K47*F44^4)/4)+((L47*F44^3)/3)+((M47*F44^2)/2)+(N47*F44)</f>
        <v>7.9280527129107336E-3</v>
      </c>
      <c r="F117" s="89" t="s">
        <v>2317</v>
      </c>
    </row>
    <row r="118" spans="1:6" s="89" customFormat="1" x14ac:dyDescent="0.25">
      <c r="A118" s="194"/>
    </row>
    <row r="119" spans="1:6" s="89" customFormat="1" x14ac:dyDescent="0.25">
      <c r="A119" s="194"/>
    </row>
    <row r="120" spans="1:6" s="89" customFormat="1" x14ac:dyDescent="0.25">
      <c r="A120" s="194"/>
    </row>
    <row r="121" spans="1:6" s="89" customFormat="1" x14ac:dyDescent="0.25">
      <c r="A121" s="194"/>
    </row>
    <row r="122" spans="1:6" s="89" customFormat="1" x14ac:dyDescent="0.25">
      <c r="A122" s="194"/>
    </row>
    <row r="123" spans="1:6" s="89" customFormat="1" x14ac:dyDescent="0.25"/>
    <row r="124" spans="1:6" s="89" customFormat="1" x14ac:dyDescent="0.25">
      <c r="A124" s="89" t="s">
        <v>2072</v>
      </c>
      <c r="B124" s="73">
        <v>0</v>
      </c>
      <c r="D124" s="73"/>
    </row>
    <row r="125" spans="1:6" s="89" customFormat="1" x14ac:dyDescent="0.25"/>
    <row r="126" spans="1:6" s="89" customFormat="1" x14ac:dyDescent="0.25"/>
    <row r="127" spans="1:6" s="89" customFormat="1" x14ac:dyDescent="0.25"/>
    <row r="128" spans="1:6" s="89" customFormat="1" x14ac:dyDescent="0.25"/>
    <row r="129" spans="1:7" s="89" customFormat="1" x14ac:dyDescent="0.25"/>
    <row r="130" spans="1:7" s="89" customFormat="1" x14ac:dyDescent="0.25">
      <c r="A130" s="89" t="s">
        <v>2071</v>
      </c>
      <c r="B130" s="73"/>
      <c r="C130" s="89" t="s">
        <v>1837</v>
      </c>
      <c r="D130" s="73" t="s">
        <v>2319</v>
      </c>
      <c r="E130" s="89">
        <f>E117*(H307-F45*0.25)</f>
        <v>9.0051267532765943E-3</v>
      </c>
      <c r="G130" s="89" t="s">
        <v>2320</v>
      </c>
    </row>
    <row r="131" spans="1:7" s="89" customFormat="1" x14ac:dyDescent="0.25"/>
    <row r="132" spans="1:7" s="89" customFormat="1" x14ac:dyDescent="0.25"/>
    <row r="133" spans="1:7" s="89" customFormat="1" x14ac:dyDescent="0.25"/>
    <row r="134" spans="1:7" s="89" customFormat="1" x14ac:dyDescent="0.25"/>
    <row r="135" spans="1:7" s="89" customFormat="1" x14ac:dyDescent="0.25"/>
    <row r="136" spans="1:7" s="89" customFormat="1" x14ac:dyDescent="0.25"/>
    <row r="137" spans="1:7" s="89" customFormat="1" x14ac:dyDescent="0.25">
      <c r="A137" s="89" t="s">
        <v>2074</v>
      </c>
      <c r="B137" s="73">
        <v>0</v>
      </c>
      <c r="C137" s="89" t="s">
        <v>1837</v>
      </c>
      <c r="D137" s="73"/>
    </row>
    <row r="138" spans="1:7" s="89" customFormat="1" x14ac:dyDescent="0.25"/>
    <row r="139" spans="1:7" s="89" customFormat="1" x14ac:dyDescent="0.25"/>
    <row r="140" spans="1:7" s="89" customFormat="1" x14ac:dyDescent="0.25"/>
    <row r="141" spans="1:7" s="89" customFormat="1" x14ac:dyDescent="0.25"/>
    <row r="142" spans="1:7" s="89" customFormat="1" x14ac:dyDescent="0.25"/>
    <row r="143" spans="1:7" s="89" customFormat="1" x14ac:dyDescent="0.25"/>
    <row r="144" spans="1:7" s="89" customFormat="1" x14ac:dyDescent="0.25">
      <c r="A144" s="89" t="s">
        <v>2075</v>
      </c>
      <c r="B144" s="73"/>
      <c r="C144" s="89" t="s">
        <v>1837</v>
      </c>
      <c r="D144" s="89" t="s">
        <v>2322</v>
      </c>
      <c r="E144" s="89">
        <f>-(((J47*F44^6)/(6*5))+((K47*F44^5)/(5*4))+((L47*F44^4)/(4*3))+((M47*F44^3)/(3*2))+(N47*F44^2)/(2))+E117*F44</f>
        <v>1.7843766218144291E-2</v>
      </c>
    </row>
    <row r="145" s="89" customFormat="1" x14ac:dyDescent="0.25"/>
    <row r="146" s="89" customFormat="1" x14ac:dyDescent="0.25"/>
    <row r="147" s="89" customFormat="1" x14ac:dyDescent="0.25"/>
    <row r="148" s="89" customFormat="1" x14ac:dyDescent="0.25"/>
    <row r="149" s="89" customFormat="1" x14ac:dyDescent="0.25"/>
    <row r="150" s="89" customFormat="1" x14ac:dyDescent="0.25"/>
    <row r="151" s="89" customFormat="1" x14ac:dyDescent="0.25"/>
    <row r="162" spans="1:21" ht="15.75" thickBot="1" x14ac:dyDescent="0.3"/>
    <row r="163" spans="1:21" s="193" customFormat="1" x14ac:dyDescent="0.25">
      <c r="A163" s="198"/>
      <c r="D163" s="199"/>
      <c r="E163" s="199"/>
      <c r="M163" s="199"/>
      <c r="N163" s="199"/>
      <c r="O163" s="199"/>
      <c r="P163" s="199"/>
      <c r="Q163" s="199"/>
      <c r="R163" s="200"/>
      <c r="S163" s="201"/>
      <c r="T163" s="201"/>
      <c r="U163" s="201"/>
    </row>
    <row r="164" spans="1:21" x14ac:dyDescent="0.25">
      <c r="A164" s="59" t="s">
        <v>2038</v>
      </c>
      <c r="D164" s="136"/>
      <c r="E164" s="136"/>
      <c r="O164" s="136"/>
      <c r="S164" s="135"/>
      <c r="T164" s="135"/>
      <c r="U164" s="135"/>
    </row>
    <row r="165" spans="1:21" x14ac:dyDescent="0.25">
      <c r="D165" s="136"/>
      <c r="E165" s="136"/>
      <c r="O165" s="136"/>
      <c r="S165" s="135"/>
      <c r="T165" s="135"/>
      <c r="U165" s="135"/>
    </row>
    <row r="166" spans="1:21" x14ac:dyDescent="0.25">
      <c r="D166" s="136"/>
      <c r="E166" s="136"/>
      <c r="O166" s="136"/>
      <c r="S166" s="135"/>
      <c r="T166" s="135"/>
      <c r="U166" s="135"/>
    </row>
    <row r="167" spans="1:21" x14ac:dyDescent="0.25">
      <c r="D167" s="136"/>
      <c r="E167" s="136"/>
      <c r="O167" s="136"/>
      <c r="S167" s="135"/>
      <c r="T167" s="135"/>
      <c r="U167" s="135"/>
    </row>
    <row r="168" spans="1:21" x14ac:dyDescent="0.25">
      <c r="D168" s="136"/>
      <c r="E168" s="136"/>
      <c r="O168" s="136"/>
      <c r="S168" s="135"/>
      <c r="T168" s="135"/>
      <c r="U168" s="135"/>
    </row>
    <row r="169" spans="1:21" x14ac:dyDescent="0.25">
      <c r="D169" s="136"/>
      <c r="E169" s="136"/>
      <c r="O169" s="136"/>
      <c r="S169" s="135"/>
      <c r="T169" s="135"/>
      <c r="U169" s="135"/>
    </row>
    <row r="170" spans="1:21" x14ac:dyDescent="0.25">
      <c r="D170" s="136"/>
      <c r="E170" s="136"/>
      <c r="O170" s="136"/>
      <c r="Q170" s="474" t="s">
        <v>2039</v>
      </c>
      <c r="S170" s="135"/>
      <c r="T170" s="135"/>
      <c r="U170" s="135"/>
    </row>
    <row r="171" spans="1:21" x14ac:dyDescent="0.25">
      <c r="D171" s="136"/>
      <c r="E171" s="136"/>
      <c r="O171" s="136"/>
      <c r="S171" s="135"/>
      <c r="T171" s="135"/>
      <c r="U171" s="135"/>
    </row>
    <row r="172" spans="1:21" x14ac:dyDescent="0.25">
      <c r="D172" s="136"/>
      <c r="E172" s="136"/>
      <c r="O172" s="136"/>
      <c r="S172" s="135"/>
      <c r="T172" s="135"/>
      <c r="U172" s="135"/>
    </row>
    <row r="173" spans="1:21" x14ac:dyDescent="0.25">
      <c r="D173" s="136"/>
      <c r="E173" s="136"/>
      <c r="O173" s="136"/>
      <c r="S173" s="135"/>
      <c r="T173" s="135"/>
      <c r="U173" s="135"/>
    </row>
    <row r="174" spans="1:21" x14ac:dyDescent="0.25">
      <c r="D174" s="136"/>
      <c r="E174" s="136"/>
      <c r="O174" s="136"/>
      <c r="S174" s="135"/>
      <c r="T174" s="135"/>
      <c r="U174" s="135"/>
    </row>
    <row r="175" spans="1:21" x14ac:dyDescent="0.25">
      <c r="D175" s="136"/>
      <c r="E175" s="136"/>
      <c r="O175" s="136"/>
      <c r="S175" s="135"/>
      <c r="T175" s="135"/>
      <c r="U175" s="135"/>
    </row>
    <row r="176" spans="1:21" x14ac:dyDescent="0.25">
      <c r="D176" s="136"/>
      <c r="E176" s="136"/>
      <c r="O176" s="136"/>
      <c r="S176" s="135"/>
      <c r="T176" s="135"/>
      <c r="U176" s="135"/>
    </row>
    <row r="177" spans="4:21" x14ac:dyDescent="0.25">
      <c r="D177" s="136"/>
      <c r="E177" s="136"/>
      <c r="O177" s="136"/>
      <c r="S177" s="135"/>
      <c r="T177" s="135"/>
      <c r="U177" s="135"/>
    </row>
    <row r="178" spans="4:21" x14ac:dyDescent="0.25">
      <c r="D178" s="136"/>
      <c r="E178" s="136"/>
      <c r="O178" s="136"/>
      <c r="S178" s="135"/>
      <c r="T178" s="135"/>
      <c r="U178" s="135"/>
    </row>
    <row r="179" spans="4:21" x14ac:dyDescent="0.25">
      <c r="D179" s="136"/>
      <c r="E179" s="136"/>
      <c r="O179" s="136"/>
      <c r="S179" s="135"/>
      <c r="T179" s="135"/>
      <c r="U179" s="135"/>
    </row>
    <row r="180" spans="4:21" x14ac:dyDescent="0.25">
      <c r="D180" s="136"/>
      <c r="E180" s="136"/>
      <c r="O180" s="136"/>
      <c r="S180" s="135"/>
      <c r="T180" s="135"/>
      <c r="U180" s="135"/>
    </row>
    <row r="181" spans="4:21" x14ac:dyDescent="0.25">
      <c r="D181" s="136"/>
      <c r="E181" s="136"/>
      <c r="O181" s="136"/>
      <c r="S181" s="135"/>
      <c r="T181" s="135"/>
      <c r="U181" s="135"/>
    </row>
    <row r="182" spans="4:21" x14ac:dyDescent="0.25">
      <c r="D182" s="136"/>
      <c r="E182" s="136"/>
      <c r="O182" s="136"/>
      <c r="S182" s="135"/>
      <c r="T182" s="135"/>
      <c r="U182" s="135"/>
    </row>
    <row r="183" spans="4:21" x14ac:dyDescent="0.25">
      <c r="D183" s="136"/>
      <c r="E183" s="136"/>
      <c r="O183" s="136"/>
      <c r="S183" s="135"/>
      <c r="T183" s="135"/>
      <c r="U183" s="135"/>
    </row>
    <row r="184" spans="4:21" x14ac:dyDescent="0.25">
      <c r="D184" s="136"/>
      <c r="E184" s="136"/>
      <c r="O184" s="136"/>
      <c r="S184" s="135"/>
      <c r="T184" s="135"/>
      <c r="U184" s="135"/>
    </row>
    <row r="185" spans="4:21" x14ac:dyDescent="0.25">
      <c r="D185" s="136"/>
      <c r="E185" s="136"/>
      <c r="O185" s="136"/>
      <c r="S185" s="135"/>
      <c r="T185" s="135"/>
      <c r="U185" s="135"/>
    </row>
    <row r="186" spans="4:21" x14ac:dyDescent="0.25">
      <c r="D186" s="136"/>
      <c r="E186" s="136"/>
      <c r="O186" s="136"/>
      <c r="S186" s="135"/>
      <c r="T186" s="135"/>
      <c r="U186" s="135"/>
    </row>
    <row r="187" spans="4:21" x14ac:dyDescent="0.25">
      <c r="D187" s="136"/>
      <c r="E187" s="136"/>
      <c r="O187" s="136"/>
      <c r="S187" s="135"/>
      <c r="T187" s="135"/>
      <c r="U187" s="135"/>
    </row>
    <row r="188" spans="4:21" x14ac:dyDescent="0.25">
      <c r="D188" s="136"/>
      <c r="E188" s="136"/>
      <c r="O188" s="136"/>
      <c r="S188" s="135"/>
      <c r="T188" s="135"/>
      <c r="U188" s="135"/>
    </row>
    <row r="189" spans="4:21" x14ac:dyDescent="0.25">
      <c r="D189" s="136"/>
      <c r="E189" s="136"/>
      <c r="O189" s="136"/>
      <c r="S189" s="135"/>
      <c r="T189" s="135"/>
      <c r="U189" s="135"/>
    </row>
    <row r="190" spans="4:21" x14ac:dyDescent="0.25">
      <c r="D190" s="136"/>
      <c r="E190" s="136"/>
      <c r="O190" s="136"/>
      <c r="S190" s="135"/>
      <c r="T190" s="135"/>
      <c r="U190" s="135"/>
    </row>
    <row r="191" spans="4:21" x14ac:dyDescent="0.25">
      <c r="D191" s="136"/>
      <c r="E191" s="136"/>
      <c r="O191" s="136"/>
      <c r="S191" s="135"/>
      <c r="T191" s="135"/>
      <c r="U191" s="135"/>
    </row>
    <row r="192" spans="4:21" x14ac:dyDescent="0.25">
      <c r="D192" s="136"/>
      <c r="E192" s="136"/>
      <c r="O192" s="136"/>
      <c r="S192" s="135"/>
      <c r="T192" s="135"/>
      <c r="U192" s="135"/>
    </row>
    <row r="193" spans="1:27" x14ac:dyDescent="0.25">
      <c r="D193" s="136"/>
      <c r="E193" s="136"/>
      <c r="O193" s="136"/>
      <c r="S193" s="135"/>
      <c r="T193" s="135"/>
      <c r="U193" s="135"/>
    </row>
    <row r="194" spans="1:27" x14ac:dyDescent="0.25">
      <c r="D194" s="136"/>
      <c r="E194" s="136"/>
      <c r="O194" s="136"/>
      <c r="S194" s="135"/>
      <c r="T194" s="135"/>
      <c r="U194" s="135"/>
    </row>
    <row r="195" spans="1:27" x14ac:dyDescent="0.25">
      <c r="D195" s="136"/>
      <c r="E195" s="136"/>
      <c r="O195" s="136"/>
      <c r="S195" s="135"/>
      <c r="T195" s="135"/>
      <c r="U195" s="135"/>
    </row>
    <row r="196" spans="1:27" x14ac:dyDescent="0.25">
      <c r="D196" s="136"/>
      <c r="E196" s="136"/>
      <c r="O196" s="136"/>
      <c r="S196" s="135"/>
      <c r="T196" s="135"/>
      <c r="U196" s="135"/>
    </row>
    <row r="197" spans="1:27" x14ac:dyDescent="0.25">
      <c r="D197" s="136"/>
      <c r="E197" s="136"/>
      <c r="O197" s="136"/>
      <c r="S197" s="135"/>
      <c r="T197" s="135"/>
      <c r="U197" s="135"/>
    </row>
    <row r="198" spans="1:27" x14ac:dyDescent="0.25">
      <c r="D198" s="136"/>
      <c r="E198" s="136"/>
      <c r="O198" s="136"/>
      <c r="S198" s="135"/>
      <c r="T198" s="135"/>
      <c r="U198" s="135"/>
    </row>
    <row r="199" spans="1:27" x14ac:dyDescent="0.25">
      <c r="D199" s="136"/>
      <c r="E199" s="136"/>
      <c r="O199" s="136"/>
      <c r="S199" s="135"/>
      <c r="T199" s="135"/>
      <c r="U199" s="135"/>
    </row>
    <row r="200" spans="1:27" x14ac:dyDescent="0.25">
      <c r="D200" s="136"/>
      <c r="E200" s="136"/>
      <c r="O200" s="136"/>
      <c r="S200" s="135"/>
      <c r="T200" s="135"/>
      <c r="U200" s="135"/>
    </row>
    <row r="201" spans="1:27" x14ac:dyDescent="0.25">
      <c r="D201" s="136"/>
      <c r="E201" s="136"/>
      <c r="O201" s="136"/>
      <c r="S201" s="135"/>
      <c r="T201" s="135"/>
      <c r="U201" s="135"/>
    </row>
    <row r="202" spans="1:27" x14ac:dyDescent="0.25">
      <c r="D202" s="136"/>
      <c r="E202" s="136"/>
      <c r="O202" s="136"/>
      <c r="S202" s="135"/>
      <c r="T202" s="135"/>
      <c r="U202" s="135"/>
    </row>
    <row r="203" spans="1:27" x14ac:dyDescent="0.25">
      <c r="D203" s="136"/>
      <c r="E203" s="136"/>
      <c r="O203" s="136"/>
      <c r="S203" s="135"/>
      <c r="T203" s="135"/>
      <c r="U203" s="135"/>
    </row>
    <row r="204" spans="1:27" x14ac:dyDescent="0.25">
      <c r="D204" s="136"/>
      <c r="E204" s="136"/>
      <c r="O204" s="136"/>
      <c r="S204" s="135"/>
      <c r="T204" s="135"/>
      <c r="U204" s="135"/>
    </row>
    <row r="206" spans="1:27" x14ac:dyDescent="0.25">
      <c r="A206" s="474" t="s">
        <v>2291</v>
      </c>
      <c r="B206" s="134" t="s">
        <v>1899</v>
      </c>
      <c r="C206" s="134" t="s">
        <v>1898</v>
      </c>
      <c r="D206" s="134" t="s">
        <v>1897</v>
      </c>
      <c r="E206" s="134" t="s">
        <v>1896</v>
      </c>
      <c r="F206" s="134" t="s">
        <v>1895</v>
      </c>
      <c r="G206" s="134" t="s">
        <v>1894</v>
      </c>
      <c r="H206" s="134" t="s">
        <v>1893</v>
      </c>
      <c r="I206" s="134" t="s">
        <v>1892</v>
      </c>
      <c r="J206" s="134" t="s">
        <v>1891</v>
      </c>
      <c r="K206" s="134" t="s">
        <v>1890</v>
      </c>
      <c r="L206" s="134" t="s">
        <v>1889</v>
      </c>
      <c r="M206" s="134" t="s">
        <v>1888</v>
      </c>
      <c r="N206" s="134" t="s">
        <v>1887</v>
      </c>
      <c r="O206" s="134" t="s">
        <v>1886</v>
      </c>
      <c r="P206" s="134" t="s">
        <v>1885</v>
      </c>
      <c r="Q206" s="134" t="s">
        <v>1884</v>
      </c>
      <c r="R206" s="134" t="s">
        <v>1883</v>
      </c>
      <c r="S206" s="134" t="s">
        <v>1882</v>
      </c>
      <c r="T206" s="134" t="s">
        <v>1881</v>
      </c>
      <c r="U206" s="134" t="s">
        <v>1880</v>
      </c>
      <c r="V206" s="134" t="s">
        <v>1879</v>
      </c>
      <c r="W206" s="134" t="s">
        <v>1878</v>
      </c>
      <c r="X206" s="134" t="s">
        <v>1877</v>
      </c>
      <c r="Z206" s="134" t="s">
        <v>1876</v>
      </c>
      <c r="AA206" s="134" t="s">
        <v>1875</v>
      </c>
    </row>
    <row r="207" spans="1:27" x14ac:dyDescent="0.25">
      <c r="B207" s="96">
        <v>1</v>
      </c>
      <c r="C207" s="131">
        <v>0</v>
      </c>
      <c r="D207" s="131">
        <f>$C$228</f>
        <v>2760.7739999999999</v>
      </c>
      <c r="E207" s="132">
        <f t="shared" ref="E207:E270" si="15">C207/D207</f>
        <v>0</v>
      </c>
      <c r="F207" s="94">
        <f>CH115</f>
        <v>0</v>
      </c>
      <c r="G207" s="94">
        <f>CH116</f>
        <v>0</v>
      </c>
      <c r="H207" s="133">
        <f>PI()*((AB123/2)^2-((AB124/2)^2))</f>
        <v>0</v>
      </c>
      <c r="I207" s="130">
        <f t="shared" ref="I207:J238" si="16">H207*E207</f>
        <v>0</v>
      </c>
      <c r="J207" s="129">
        <f t="shared" si="16"/>
        <v>0</v>
      </c>
      <c r="K207" s="129">
        <f t="shared" ref="K207:K270" si="17">I207*G207</f>
        <v>0</v>
      </c>
      <c r="L207" s="129">
        <f>PI()*(AB123^4-AB124^4)/64</f>
        <v>0</v>
      </c>
      <c r="M207" s="129">
        <f>PI()*(AB123^4-AB124^4)/64</f>
        <v>0</v>
      </c>
      <c r="N207" s="129">
        <v>0</v>
      </c>
      <c r="O207" s="129">
        <f t="shared" ref="O207:O270" si="18">$H$307</f>
        <v>2.6099662161425141</v>
      </c>
      <c r="P207" s="129">
        <f t="shared" ref="P207:P215" si="19">H$309</f>
        <v>0</v>
      </c>
      <c r="Q207" s="93">
        <f t="shared" ref="Q207:R238" si="20">F207-O207</f>
        <v>-2.6099662161425141</v>
      </c>
      <c r="R207" s="93">
        <f t="shared" si="20"/>
        <v>0</v>
      </c>
      <c r="S207" s="129">
        <f t="shared" ref="S207:S270" si="21">H207*Q207^2</f>
        <v>0</v>
      </c>
      <c r="T207" s="129">
        <f t="shared" ref="T207:T270" si="22">H207*R207^2</f>
        <v>0</v>
      </c>
      <c r="U207" s="129">
        <f t="shared" ref="U207:U238" si="23">H207*Q207*R207</f>
        <v>0</v>
      </c>
      <c r="V207" s="128">
        <f t="shared" ref="V207:V270" si="24">E207*(L207+T207)</f>
        <v>0</v>
      </c>
      <c r="W207" s="128">
        <f t="shared" ref="W207:W270" si="25">E207*(M207+S207)</f>
        <v>0</v>
      </c>
      <c r="X207" s="128">
        <f t="shared" ref="X207:X270" si="26">E207*(N207+U207)</f>
        <v>0</v>
      </c>
      <c r="Z207" s="68"/>
      <c r="AA207" s="68"/>
    </row>
    <row r="208" spans="1:27" x14ac:dyDescent="0.25">
      <c r="B208" s="96">
        <v>2</v>
      </c>
      <c r="C208" s="131">
        <v>0</v>
      </c>
      <c r="D208" s="131">
        <f t="shared" ref="D208:D271" si="27">$C$228</f>
        <v>2760.7739999999999</v>
      </c>
      <c r="E208" s="132">
        <f t="shared" si="15"/>
        <v>0</v>
      </c>
      <c r="F208" s="132">
        <f>Q134</f>
        <v>0</v>
      </c>
      <c r="G208" s="93">
        <f>S134</f>
        <v>0</v>
      </c>
      <c r="H208" s="133">
        <f>PI()*((AB123/2)^2-((AB124/2)^2))</f>
        <v>0</v>
      </c>
      <c r="I208" s="130">
        <f t="shared" si="16"/>
        <v>0</v>
      </c>
      <c r="J208" s="129">
        <f t="shared" si="16"/>
        <v>0</v>
      </c>
      <c r="K208" s="129">
        <f t="shared" si="17"/>
        <v>0</v>
      </c>
      <c r="L208" s="129">
        <f>PI()*(AB123^4-AB124^4)/64</f>
        <v>0</v>
      </c>
      <c r="M208" s="129">
        <f>PI()*(AB123^4-AB124^4)/64</f>
        <v>0</v>
      </c>
      <c r="N208" s="129">
        <v>0</v>
      </c>
      <c r="O208" s="129">
        <f t="shared" si="18"/>
        <v>2.6099662161425141</v>
      </c>
      <c r="P208" s="129">
        <f t="shared" si="19"/>
        <v>0</v>
      </c>
      <c r="Q208" s="93">
        <f t="shared" si="20"/>
        <v>-2.6099662161425141</v>
      </c>
      <c r="R208" s="93">
        <f t="shared" si="20"/>
        <v>0</v>
      </c>
      <c r="S208" s="129">
        <f t="shared" si="21"/>
        <v>0</v>
      </c>
      <c r="T208" s="129">
        <f t="shared" si="22"/>
        <v>0</v>
      </c>
      <c r="U208" s="129">
        <f t="shared" si="23"/>
        <v>0</v>
      </c>
      <c r="V208" s="128">
        <f t="shared" si="24"/>
        <v>0</v>
      </c>
      <c r="W208" s="128">
        <f t="shared" si="25"/>
        <v>0</v>
      </c>
      <c r="X208" s="128">
        <f t="shared" si="26"/>
        <v>0</v>
      </c>
      <c r="Z208" s="68"/>
      <c r="AA208" s="68"/>
    </row>
    <row r="209" spans="2:27" x14ac:dyDescent="0.25">
      <c r="B209" s="96">
        <v>3</v>
      </c>
      <c r="C209" s="131">
        <v>0</v>
      </c>
      <c r="D209" s="131">
        <f t="shared" si="27"/>
        <v>2760.7739999999999</v>
      </c>
      <c r="E209" s="132">
        <f t="shared" si="15"/>
        <v>0</v>
      </c>
      <c r="F209" s="131">
        <v>0</v>
      </c>
      <c r="G209" s="131">
        <v>0</v>
      </c>
      <c r="H209" s="131">
        <v>0</v>
      </c>
      <c r="I209" s="130">
        <f t="shared" si="16"/>
        <v>0</v>
      </c>
      <c r="J209" s="129">
        <f t="shared" si="16"/>
        <v>0</v>
      </c>
      <c r="K209" s="129">
        <f t="shared" si="17"/>
        <v>0</v>
      </c>
      <c r="L209" s="129">
        <v>0</v>
      </c>
      <c r="M209" s="129">
        <v>0</v>
      </c>
      <c r="N209" s="129">
        <v>0</v>
      </c>
      <c r="O209" s="129">
        <f t="shared" si="18"/>
        <v>2.6099662161425141</v>
      </c>
      <c r="P209" s="129">
        <f t="shared" si="19"/>
        <v>0</v>
      </c>
      <c r="Q209" s="93">
        <f t="shared" si="20"/>
        <v>-2.6099662161425141</v>
      </c>
      <c r="R209" s="93">
        <f t="shared" si="20"/>
        <v>0</v>
      </c>
      <c r="S209" s="129">
        <f t="shared" si="21"/>
        <v>0</v>
      </c>
      <c r="T209" s="129">
        <f t="shared" si="22"/>
        <v>0</v>
      </c>
      <c r="U209" s="129">
        <f t="shared" si="23"/>
        <v>0</v>
      </c>
      <c r="V209" s="128">
        <f t="shared" si="24"/>
        <v>0</v>
      </c>
      <c r="W209" s="128">
        <f t="shared" si="25"/>
        <v>0</v>
      </c>
      <c r="X209" s="128">
        <f t="shared" si="26"/>
        <v>0</v>
      </c>
      <c r="Z209" s="68"/>
      <c r="AA209" s="68"/>
    </row>
    <row r="210" spans="2:27" x14ac:dyDescent="0.25">
      <c r="B210" s="96">
        <v>4</v>
      </c>
      <c r="C210" s="131">
        <v>0</v>
      </c>
      <c r="D210" s="131">
        <f t="shared" si="27"/>
        <v>2760.7739999999999</v>
      </c>
      <c r="E210" s="132">
        <f t="shared" si="15"/>
        <v>0</v>
      </c>
      <c r="F210" s="131">
        <v>0</v>
      </c>
      <c r="G210" s="131">
        <v>0</v>
      </c>
      <c r="H210" s="131">
        <v>0</v>
      </c>
      <c r="I210" s="130">
        <f t="shared" si="16"/>
        <v>0</v>
      </c>
      <c r="J210" s="129">
        <f t="shared" si="16"/>
        <v>0</v>
      </c>
      <c r="K210" s="129">
        <f t="shared" si="17"/>
        <v>0</v>
      </c>
      <c r="L210" s="129">
        <v>0</v>
      </c>
      <c r="M210" s="129">
        <v>0</v>
      </c>
      <c r="N210" s="129">
        <v>0</v>
      </c>
      <c r="O210" s="129">
        <f t="shared" si="18"/>
        <v>2.6099662161425141</v>
      </c>
      <c r="P210" s="129">
        <f t="shared" si="19"/>
        <v>0</v>
      </c>
      <c r="Q210" s="93">
        <f t="shared" si="20"/>
        <v>-2.6099662161425141</v>
      </c>
      <c r="R210" s="93">
        <f t="shared" si="20"/>
        <v>0</v>
      </c>
      <c r="S210" s="129">
        <f t="shared" si="21"/>
        <v>0</v>
      </c>
      <c r="T210" s="129">
        <f t="shared" si="22"/>
        <v>0</v>
      </c>
      <c r="U210" s="129">
        <f t="shared" si="23"/>
        <v>0</v>
      </c>
      <c r="V210" s="128">
        <f t="shared" si="24"/>
        <v>0</v>
      </c>
      <c r="W210" s="128">
        <f t="shared" si="25"/>
        <v>0</v>
      </c>
      <c r="X210" s="128">
        <f t="shared" si="26"/>
        <v>0</v>
      </c>
      <c r="Z210" s="68"/>
      <c r="AA210" s="68"/>
    </row>
    <row r="211" spans="2:27" x14ac:dyDescent="0.25">
      <c r="B211" s="96">
        <v>5</v>
      </c>
      <c r="C211" s="131">
        <v>0</v>
      </c>
      <c r="D211" s="131">
        <f t="shared" si="27"/>
        <v>2760.7739999999999</v>
      </c>
      <c r="E211" s="132">
        <f t="shared" si="15"/>
        <v>0</v>
      </c>
      <c r="F211" s="131">
        <v>0</v>
      </c>
      <c r="G211" s="131">
        <v>0</v>
      </c>
      <c r="H211" s="131">
        <v>0</v>
      </c>
      <c r="I211" s="130">
        <f t="shared" si="16"/>
        <v>0</v>
      </c>
      <c r="J211" s="129">
        <f t="shared" si="16"/>
        <v>0</v>
      </c>
      <c r="K211" s="129">
        <f t="shared" si="17"/>
        <v>0</v>
      </c>
      <c r="L211" s="129">
        <v>0</v>
      </c>
      <c r="M211" s="129">
        <v>0</v>
      </c>
      <c r="N211" s="129">
        <v>0</v>
      </c>
      <c r="O211" s="129">
        <f t="shared" si="18"/>
        <v>2.6099662161425141</v>
      </c>
      <c r="P211" s="129">
        <f t="shared" si="19"/>
        <v>0</v>
      </c>
      <c r="Q211" s="93">
        <f t="shared" si="20"/>
        <v>-2.6099662161425141</v>
      </c>
      <c r="R211" s="93">
        <f t="shared" si="20"/>
        <v>0</v>
      </c>
      <c r="S211" s="129">
        <f t="shared" si="21"/>
        <v>0</v>
      </c>
      <c r="T211" s="129">
        <f t="shared" si="22"/>
        <v>0</v>
      </c>
      <c r="U211" s="129">
        <f t="shared" si="23"/>
        <v>0</v>
      </c>
      <c r="V211" s="128">
        <f t="shared" si="24"/>
        <v>0</v>
      </c>
      <c r="W211" s="128">
        <f t="shared" si="25"/>
        <v>0</v>
      </c>
      <c r="X211" s="128">
        <f t="shared" si="26"/>
        <v>0</v>
      </c>
      <c r="Z211" s="68"/>
      <c r="AA211" s="68"/>
    </row>
    <row r="212" spans="2:27" x14ac:dyDescent="0.25">
      <c r="B212" s="96">
        <v>6</v>
      </c>
      <c r="C212" s="131">
        <v>0</v>
      </c>
      <c r="D212" s="131">
        <f t="shared" si="27"/>
        <v>2760.7739999999999</v>
      </c>
      <c r="E212" s="132">
        <f t="shared" si="15"/>
        <v>0</v>
      </c>
      <c r="F212" s="131">
        <v>0</v>
      </c>
      <c r="G212" s="131">
        <v>0</v>
      </c>
      <c r="H212" s="131">
        <v>0</v>
      </c>
      <c r="I212" s="130">
        <f t="shared" si="16"/>
        <v>0</v>
      </c>
      <c r="J212" s="129">
        <f t="shared" si="16"/>
        <v>0</v>
      </c>
      <c r="K212" s="129">
        <f t="shared" si="17"/>
        <v>0</v>
      </c>
      <c r="L212" s="129">
        <v>0</v>
      </c>
      <c r="M212" s="129">
        <v>0</v>
      </c>
      <c r="N212" s="129">
        <v>0</v>
      </c>
      <c r="O212" s="129">
        <f t="shared" si="18"/>
        <v>2.6099662161425141</v>
      </c>
      <c r="P212" s="129">
        <f t="shared" si="19"/>
        <v>0</v>
      </c>
      <c r="Q212" s="93">
        <f t="shared" si="20"/>
        <v>-2.6099662161425141</v>
      </c>
      <c r="R212" s="93">
        <f t="shared" si="20"/>
        <v>0</v>
      </c>
      <c r="S212" s="129">
        <f t="shared" si="21"/>
        <v>0</v>
      </c>
      <c r="T212" s="129">
        <f t="shared" si="22"/>
        <v>0</v>
      </c>
      <c r="U212" s="129">
        <f t="shared" si="23"/>
        <v>0</v>
      </c>
      <c r="V212" s="128">
        <f t="shared" si="24"/>
        <v>0</v>
      </c>
      <c r="W212" s="128">
        <f t="shared" si="25"/>
        <v>0</v>
      </c>
      <c r="X212" s="128">
        <f t="shared" si="26"/>
        <v>0</v>
      </c>
      <c r="Z212" s="68"/>
      <c r="AA212" s="68"/>
    </row>
    <row r="213" spans="2:27" x14ac:dyDescent="0.25">
      <c r="B213" s="96">
        <v>7</v>
      </c>
      <c r="C213" s="131">
        <v>0</v>
      </c>
      <c r="D213" s="131">
        <f t="shared" si="27"/>
        <v>2760.7739999999999</v>
      </c>
      <c r="E213" s="132">
        <f t="shared" si="15"/>
        <v>0</v>
      </c>
      <c r="F213" s="131">
        <v>0</v>
      </c>
      <c r="G213" s="131">
        <v>0</v>
      </c>
      <c r="H213" s="131">
        <v>0</v>
      </c>
      <c r="I213" s="130">
        <f t="shared" si="16"/>
        <v>0</v>
      </c>
      <c r="J213" s="129">
        <f t="shared" si="16"/>
        <v>0</v>
      </c>
      <c r="K213" s="129">
        <f t="shared" si="17"/>
        <v>0</v>
      </c>
      <c r="L213" s="129">
        <v>0</v>
      </c>
      <c r="M213" s="129">
        <v>0</v>
      </c>
      <c r="N213" s="129">
        <v>0</v>
      </c>
      <c r="O213" s="129">
        <f t="shared" si="18"/>
        <v>2.6099662161425141</v>
      </c>
      <c r="P213" s="129">
        <f t="shared" si="19"/>
        <v>0</v>
      </c>
      <c r="Q213" s="93">
        <f t="shared" si="20"/>
        <v>-2.6099662161425141</v>
      </c>
      <c r="R213" s="93">
        <f t="shared" si="20"/>
        <v>0</v>
      </c>
      <c r="S213" s="129">
        <f t="shared" si="21"/>
        <v>0</v>
      </c>
      <c r="T213" s="129">
        <f t="shared" si="22"/>
        <v>0</v>
      </c>
      <c r="U213" s="129">
        <f t="shared" si="23"/>
        <v>0</v>
      </c>
      <c r="V213" s="128">
        <f t="shared" si="24"/>
        <v>0</v>
      </c>
      <c r="W213" s="128">
        <f t="shared" si="25"/>
        <v>0</v>
      </c>
      <c r="X213" s="128">
        <f t="shared" si="26"/>
        <v>0</v>
      </c>
      <c r="Z213" s="68"/>
      <c r="AA213" s="68"/>
    </row>
    <row r="214" spans="2:27" x14ac:dyDescent="0.25">
      <c r="B214" s="96">
        <v>8</v>
      </c>
      <c r="C214" s="131">
        <v>0</v>
      </c>
      <c r="D214" s="131">
        <f t="shared" si="27"/>
        <v>2760.7739999999999</v>
      </c>
      <c r="E214" s="132">
        <f t="shared" si="15"/>
        <v>0</v>
      </c>
      <c r="F214" s="131">
        <v>0</v>
      </c>
      <c r="G214" s="131">
        <v>0</v>
      </c>
      <c r="H214" s="131">
        <v>0</v>
      </c>
      <c r="I214" s="130">
        <f t="shared" si="16"/>
        <v>0</v>
      </c>
      <c r="J214" s="129">
        <f t="shared" si="16"/>
        <v>0</v>
      </c>
      <c r="K214" s="129">
        <f t="shared" si="17"/>
        <v>0</v>
      </c>
      <c r="L214" s="129">
        <v>0</v>
      </c>
      <c r="M214" s="129">
        <v>0</v>
      </c>
      <c r="N214" s="129">
        <v>0</v>
      </c>
      <c r="O214" s="129">
        <f t="shared" si="18"/>
        <v>2.6099662161425141</v>
      </c>
      <c r="P214" s="129">
        <f t="shared" si="19"/>
        <v>0</v>
      </c>
      <c r="Q214" s="93">
        <f t="shared" si="20"/>
        <v>-2.6099662161425141</v>
      </c>
      <c r="R214" s="93">
        <f t="shared" si="20"/>
        <v>0</v>
      </c>
      <c r="S214" s="129">
        <f t="shared" si="21"/>
        <v>0</v>
      </c>
      <c r="T214" s="129">
        <f t="shared" si="22"/>
        <v>0</v>
      </c>
      <c r="U214" s="129">
        <f t="shared" si="23"/>
        <v>0</v>
      </c>
      <c r="V214" s="128">
        <f t="shared" si="24"/>
        <v>0</v>
      </c>
      <c r="W214" s="128">
        <f t="shared" si="25"/>
        <v>0</v>
      </c>
      <c r="X214" s="128">
        <f t="shared" si="26"/>
        <v>0</v>
      </c>
      <c r="Z214" s="68"/>
      <c r="AA214" s="68"/>
    </row>
    <row r="215" spans="2:27" x14ac:dyDescent="0.25">
      <c r="B215" s="96">
        <v>9</v>
      </c>
      <c r="C215" s="125">
        <v>0</v>
      </c>
      <c r="D215" s="125">
        <f t="shared" si="27"/>
        <v>2760.7739999999999</v>
      </c>
      <c r="E215" s="126">
        <f t="shared" si="15"/>
        <v>0</v>
      </c>
      <c r="F215" s="127">
        <v>0</v>
      </c>
      <c r="G215" s="127">
        <v>0</v>
      </c>
      <c r="H215" s="123">
        <v>0</v>
      </c>
      <c r="I215" s="124">
        <f t="shared" si="16"/>
        <v>0</v>
      </c>
      <c r="J215" s="122">
        <f t="shared" si="16"/>
        <v>0</v>
      </c>
      <c r="K215" s="122">
        <f t="shared" si="17"/>
        <v>0</v>
      </c>
      <c r="L215" s="122">
        <f>(0*(T140^3))/12</f>
        <v>0</v>
      </c>
      <c r="M215" s="122">
        <f>T140*(0^3)/12</f>
        <v>0</v>
      </c>
      <c r="N215" s="122">
        <v>0</v>
      </c>
      <c r="O215" s="122">
        <f t="shared" si="18"/>
        <v>2.6099662161425141</v>
      </c>
      <c r="P215" s="122">
        <f t="shared" si="19"/>
        <v>0</v>
      </c>
      <c r="Q215" s="123">
        <f t="shared" si="20"/>
        <v>-2.6099662161425141</v>
      </c>
      <c r="R215" s="123">
        <f t="shared" si="20"/>
        <v>0</v>
      </c>
      <c r="S215" s="122">
        <f t="shared" si="21"/>
        <v>0</v>
      </c>
      <c r="T215" s="122">
        <f t="shared" si="22"/>
        <v>0</v>
      </c>
      <c r="U215" s="122">
        <f t="shared" si="23"/>
        <v>0</v>
      </c>
      <c r="V215" s="121">
        <f t="shared" si="24"/>
        <v>0</v>
      </c>
      <c r="W215" s="121">
        <f t="shared" si="25"/>
        <v>0</v>
      </c>
      <c r="X215" s="121">
        <f t="shared" si="26"/>
        <v>0</v>
      </c>
      <c r="Z215" s="120"/>
      <c r="AA215" s="120"/>
    </row>
    <row r="216" spans="2:27" x14ac:dyDescent="0.25">
      <c r="B216" s="96">
        <v>10</v>
      </c>
      <c r="C216" s="125">
        <v>0</v>
      </c>
      <c r="D216" s="125">
        <f t="shared" si="27"/>
        <v>2760.7739999999999</v>
      </c>
      <c r="E216" s="126">
        <f t="shared" si="15"/>
        <v>0</v>
      </c>
      <c r="F216" s="125">
        <v>0</v>
      </c>
      <c r="G216" s="125">
        <v>0</v>
      </c>
      <c r="H216" s="125">
        <v>0</v>
      </c>
      <c r="I216" s="124">
        <f t="shared" si="16"/>
        <v>0</v>
      </c>
      <c r="J216" s="122">
        <f t="shared" si="16"/>
        <v>0</v>
      </c>
      <c r="K216" s="122">
        <f t="shared" si="17"/>
        <v>0</v>
      </c>
      <c r="L216" s="122">
        <v>0</v>
      </c>
      <c r="M216" s="122">
        <v>0</v>
      </c>
      <c r="N216" s="122">
        <v>0</v>
      </c>
      <c r="O216" s="122">
        <f t="shared" si="18"/>
        <v>2.6099662161425141</v>
      </c>
      <c r="P216" s="122">
        <f>H309</f>
        <v>0</v>
      </c>
      <c r="Q216" s="123">
        <f t="shared" si="20"/>
        <v>-2.6099662161425141</v>
      </c>
      <c r="R216" s="123">
        <f t="shared" si="20"/>
        <v>0</v>
      </c>
      <c r="S216" s="122">
        <f t="shared" si="21"/>
        <v>0</v>
      </c>
      <c r="T216" s="122">
        <f t="shared" si="22"/>
        <v>0</v>
      </c>
      <c r="U216" s="122">
        <f t="shared" si="23"/>
        <v>0</v>
      </c>
      <c r="V216" s="121">
        <f t="shared" si="24"/>
        <v>0</v>
      </c>
      <c r="W216" s="121">
        <f t="shared" si="25"/>
        <v>0</v>
      </c>
      <c r="X216" s="121">
        <f t="shared" si="26"/>
        <v>0</v>
      </c>
      <c r="Z216" s="120"/>
      <c r="AA216" s="120"/>
    </row>
    <row r="217" spans="2:27" x14ac:dyDescent="0.25">
      <c r="B217" s="96">
        <v>11</v>
      </c>
      <c r="C217" s="125">
        <v>0</v>
      </c>
      <c r="D217" s="125">
        <f t="shared" si="27"/>
        <v>2760.7739999999999</v>
      </c>
      <c r="E217" s="126">
        <f t="shared" si="15"/>
        <v>0</v>
      </c>
      <c r="F217" s="125">
        <v>0</v>
      </c>
      <c r="G217" s="125">
        <v>0</v>
      </c>
      <c r="H217" s="125">
        <v>0</v>
      </c>
      <c r="I217" s="124">
        <f t="shared" si="16"/>
        <v>0</v>
      </c>
      <c r="J217" s="122">
        <f t="shared" si="16"/>
        <v>0</v>
      </c>
      <c r="K217" s="122">
        <f t="shared" si="17"/>
        <v>0</v>
      </c>
      <c r="L217" s="122">
        <v>0</v>
      </c>
      <c r="M217" s="122">
        <v>0</v>
      </c>
      <c r="N217" s="122">
        <v>0</v>
      </c>
      <c r="O217" s="122">
        <f t="shared" si="18"/>
        <v>2.6099662161425141</v>
      </c>
      <c r="P217" s="122">
        <f>H309</f>
        <v>0</v>
      </c>
      <c r="Q217" s="123">
        <f t="shared" si="20"/>
        <v>-2.6099662161425141</v>
      </c>
      <c r="R217" s="123">
        <f t="shared" si="20"/>
        <v>0</v>
      </c>
      <c r="S217" s="122">
        <f t="shared" si="21"/>
        <v>0</v>
      </c>
      <c r="T217" s="122">
        <f t="shared" si="22"/>
        <v>0</v>
      </c>
      <c r="U217" s="122">
        <f t="shared" si="23"/>
        <v>0</v>
      </c>
      <c r="V217" s="121">
        <f t="shared" si="24"/>
        <v>0</v>
      </c>
      <c r="W217" s="121">
        <f t="shared" si="25"/>
        <v>0</v>
      </c>
      <c r="X217" s="121">
        <f t="shared" si="26"/>
        <v>0</v>
      </c>
      <c r="Z217" s="120"/>
      <c r="AA217" s="120"/>
    </row>
    <row r="218" spans="2:27" x14ac:dyDescent="0.25">
      <c r="B218" s="96">
        <v>12</v>
      </c>
      <c r="C218" s="125">
        <v>0</v>
      </c>
      <c r="D218" s="125">
        <f t="shared" si="27"/>
        <v>2760.7739999999999</v>
      </c>
      <c r="E218" s="126">
        <f t="shared" si="15"/>
        <v>0</v>
      </c>
      <c r="F218" s="125">
        <v>0</v>
      </c>
      <c r="G218" s="125">
        <v>0</v>
      </c>
      <c r="H218" s="125">
        <v>0</v>
      </c>
      <c r="I218" s="124">
        <f t="shared" si="16"/>
        <v>0</v>
      </c>
      <c r="J218" s="122">
        <f t="shared" si="16"/>
        <v>0</v>
      </c>
      <c r="K218" s="122">
        <f t="shared" si="17"/>
        <v>0</v>
      </c>
      <c r="L218" s="122">
        <v>0</v>
      </c>
      <c r="M218" s="122">
        <v>0</v>
      </c>
      <c r="N218" s="122">
        <v>0</v>
      </c>
      <c r="O218" s="122">
        <f t="shared" si="18"/>
        <v>2.6099662161425141</v>
      </c>
      <c r="P218" s="122">
        <f>H309</f>
        <v>0</v>
      </c>
      <c r="Q218" s="123">
        <f t="shared" si="20"/>
        <v>-2.6099662161425141</v>
      </c>
      <c r="R218" s="123">
        <f t="shared" si="20"/>
        <v>0</v>
      </c>
      <c r="S218" s="122">
        <f t="shared" si="21"/>
        <v>0</v>
      </c>
      <c r="T218" s="122">
        <f t="shared" si="22"/>
        <v>0</v>
      </c>
      <c r="U218" s="122">
        <f t="shared" si="23"/>
        <v>0</v>
      </c>
      <c r="V218" s="121">
        <f t="shared" si="24"/>
        <v>0</v>
      </c>
      <c r="W218" s="121">
        <f t="shared" si="25"/>
        <v>0</v>
      </c>
      <c r="X218" s="121">
        <f t="shared" si="26"/>
        <v>0</v>
      </c>
      <c r="Z218" s="120"/>
      <c r="AA218" s="120"/>
    </row>
    <row r="219" spans="2:27" x14ac:dyDescent="0.25">
      <c r="B219" s="96">
        <v>13</v>
      </c>
      <c r="C219" s="125">
        <v>0</v>
      </c>
      <c r="D219" s="125">
        <f t="shared" si="27"/>
        <v>2760.7739999999999</v>
      </c>
      <c r="E219" s="126">
        <f t="shared" si="15"/>
        <v>0</v>
      </c>
      <c r="F219" s="125">
        <v>0</v>
      </c>
      <c r="G219" s="125">
        <v>0</v>
      </c>
      <c r="H219" s="125">
        <v>0</v>
      </c>
      <c r="I219" s="124">
        <f t="shared" si="16"/>
        <v>0</v>
      </c>
      <c r="J219" s="122">
        <f t="shared" si="16"/>
        <v>0</v>
      </c>
      <c r="K219" s="122">
        <f t="shared" si="17"/>
        <v>0</v>
      </c>
      <c r="L219" s="122">
        <v>0</v>
      </c>
      <c r="M219" s="122">
        <v>0</v>
      </c>
      <c r="N219" s="122">
        <v>0</v>
      </c>
      <c r="O219" s="122">
        <f t="shared" si="18"/>
        <v>2.6099662161425141</v>
      </c>
      <c r="P219" s="122">
        <f>H309</f>
        <v>0</v>
      </c>
      <c r="Q219" s="123">
        <f t="shared" si="20"/>
        <v>-2.6099662161425141</v>
      </c>
      <c r="R219" s="123">
        <f t="shared" si="20"/>
        <v>0</v>
      </c>
      <c r="S219" s="122">
        <f t="shared" si="21"/>
        <v>0</v>
      </c>
      <c r="T219" s="122">
        <f t="shared" si="22"/>
        <v>0</v>
      </c>
      <c r="U219" s="122">
        <f t="shared" si="23"/>
        <v>0</v>
      </c>
      <c r="V219" s="121">
        <f t="shared" si="24"/>
        <v>0</v>
      </c>
      <c r="W219" s="121">
        <f t="shared" si="25"/>
        <v>0</v>
      </c>
      <c r="X219" s="121">
        <f t="shared" si="26"/>
        <v>0</v>
      </c>
      <c r="Z219" s="120"/>
      <c r="AA219" s="120"/>
    </row>
    <row r="220" spans="2:27" x14ac:dyDescent="0.25">
      <c r="B220" s="96">
        <v>14</v>
      </c>
      <c r="C220" s="125">
        <v>0</v>
      </c>
      <c r="D220" s="125">
        <f t="shared" si="27"/>
        <v>2760.7739999999999</v>
      </c>
      <c r="E220" s="126">
        <f t="shared" si="15"/>
        <v>0</v>
      </c>
      <c r="F220" s="125">
        <v>0</v>
      </c>
      <c r="G220" s="125">
        <v>0</v>
      </c>
      <c r="H220" s="125">
        <v>0</v>
      </c>
      <c r="I220" s="124">
        <f t="shared" si="16"/>
        <v>0</v>
      </c>
      <c r="J220" s="122">
        <f t="shared" si="16"/>
        <v>0</v>
      </c>
      <c r="K220" s="122">
        <f t="shared" si="17"/>
        <v>0</v>
      </c>
      <c r="L220" s="122">
        <v>0</v>
      </c>
      <c r="M220" s="122">
        <v>0</v>
      </c>
      <c r="N220" s="122">
        <v>0</v>
      </c>
      <c r="O220" s="122">
        <f t="shared" si="18"/>
        <v>2.6099662161425141</v>
      </c>
      <c r="P220" s="122">
        <f>H309</f>
        <v>0</v>
      </c>
      <c r="Q220" s="123">
        <f t="shared" si="20"/>
        <v>-2.6099662161425141</v>
      </c>
      <c r="R220" s="123">
        <f t="shared" si="20"/>
        <v>0</v>
      </c>
      <c r="S220" s="122">
        <f t="shared" si="21"/>
        <v>0</v>
      </c>
      <c r="T220" s="122">
        <f t="shared" si="22"/>
        <v>0</v>
      </c>
      <c r="U220" s="122">
        <f t="shared" si="23"/>
        <v>0</v>
      </c>
      <c r="V220" s="121">
        <f t="shared" si="24"/>
        <v>0</v>
      </c>
      <c r="W220" s="121">
        <f t="shared" si="25"/>
        <v>0</v>
      </c>
      <c r="X220" s="121">
        <f t="shared" si="26"/>
        <v>0</v>
      </c>
      <c r="Z220" s="120"/>
      <c r="AA220" s="120"/>
    </row>
    <row r="221" spans="2:27" x14ac:dyDescent="0.25">
      <c r="B221" s="96">
        <v>15</v>
      </c>
      <c r="C221" s="125">
        <v>0</v>
      </c>
      <c r="D221" s="125">
        <f t="shared" si="27"/>
        <v>2760.7739999999999</v>
      </c>
      <c r="E221" s="126">
        <f t="shared" si="15"/>
        <v>0</v>
      </c>
      <c r="F221" s="125">
        <v>0</v>
      </c>
      <c r="G221" s="125">
        <v>0</v>
      </c>
      <c r="H221" s="125">
        <v>0</v>
      </c>
      <c r="I221" s="124">
        <f t="shared" si="16"/>
        <v>0</v>
      </c>
      <c r="J221" s="122">
        <f t="shared" si="16"/>
        <v>0</v>
      </c>
      <c r="K221" s="122">
        <f t="shared" si="17"/>
        <v>0</v>
      </c>
      <c r="L221" s="122">
        <v>0</v>
      </c>
      <c r="M221" s="122">
        <v>0</v>
      </c>
      <c r="N221" s="122">
        <v>0</v>
      </c>
      <c r="O221" s="122">
        <f t="shared" si="18"/>
        <v>2.6099662161425141</v>
      </c>
      <c r="P221" s="122">
        <f>H309</f>
        <v>0</v>
      </c>
      <c r="Q221" s="123">
        <f t="shared" si="20"/>
        <v>-2.6099662161425141</v>
      </c>
      <c r="R221" s="123">
        <f t="shared" si="20"/>
        <v>0</v>
      </c>
      <c r="S221" s="122">
        <f t="shared" si="21"/>
        <v>0</v>
      </c>
      <c r="T221" s="122">
        <f t="shared" si="22"/>
        <v>0</v>
      </c>
      <c r="U221" s="122">
        <f t="shared" si="23"/>
        <v>0</v>
      </c>
      <c r="V221" s="121">
        <f t="shared" si="24"/>
        <v>0</v>
      </c>
      <c r="W221" s="121">
        <f t="shared" si="25"/>
        <v>0</v>
      </c>
      <c r="X221" s="121">
        <f t="shared" si="26"/>
        <v>0</v>
      </c>
      <c r="Z221" s="120"/>
      <c r="AA221" s="120"/>
    </row>
    <row r="222" spans="2:27" x14ac:dyDescent="0.25">
      <c r="B222" s="96">
        <v>16</v>
      </c>
      <c r="C222" s="125">
        <v>0</v>
      </c>
      <c r="D222" s="125">
        <f t="shared" si="27"/>
        <v>2760.7739999999999</v>
      </c>
      <c r="E222" s="126">
        <f t="shared" si="15"/>
        <v>0</v>
      </c>
      <c r="F222" s="125">
        <v>0</v>
      </c>
      <c r="G222" s="125">
        <v>0</v>
      </c>
      <c r="H222" s="125">
        <v>0</v>
      </c>
      <c r="I222" s="124">
        <f t="shared" si="16"/>
        <v>0</v>
      </c>
      <c r="J222" s="122">
        <f t="shared" si="16"/>
        <v>0</v>
      </c>
      <c r="K222" s="122">
        <f t="shared" si="17"/>
        <v>0</v>
      </c>
      <c r="L222" s="122">
        <v>0</v>
      </c>
      <c r="M222" s="122">
        <v>0</v>
      </c>
      <c r="N222" s="122">
        <v>0</v>
      </c>
      <c r="O222" s="122">
        <f t="shared" si="18"/>
        <v>2.6099662161425141</v>
      </c>
      <c r="P222" s="122">
        <f>H309</f>
        <v>0</v>
      </c>
      <c r="Q222" s="123">
        <f t="shared" si="20"/>
        <v>-2.6099662161425141</v>
      </c>
      <c r="R222" s="123">
        <f t="shared" si="20"/>
        <v>0</v>
      </c>
      <c r="S222" s="122">
        <f t="shared" si="21"/>
        <v>0</v>
      </c>
      <c r="T222" s="122">
        <f t="shared" si="22"/>
        <v>0</v>
      </c>
      <c r="U222" s="122">
        <f t="shared" si="23"/>
        <v>0</v>
      </c>
      <c r="V222" s="121">
        <f t="shared" si="24"/>
        <v>0</v>
      </c>
      <c r="W222" s="121">
        <f t="shared" si="25"/>
        <v>0</v>
      </c>
      <c r="X222" s="121">
        <f t="shared" si="26"/>
        <v>0</v>
      </c>
      <c r="Z222" s="120"/>
      <c r="AA222" s="120"/>
    </row>
    <row r="223" spans="2:27" x14ac:dyDescent="0.25">
      <c r="B223" s="96">
        <v>17</v>
      </c>
      <c r="C223" s="125">
        <v>0</v>
      </c>
      <c r="D223" s="125">
        <f t="shared" si="27"/>
        <v>2760.7739999999999</v>
      </c>
      <c r="E223" s="126">
        <f t="shared" si="15"/>
        <v>0</v>
      </c>
      <c r="F223" s="125">
        <v>0</v>
      </c>
      <c r="G223" s="125">
        <v>0</v>
      </c>
      <c r="H223" s="125">
        <v>0</v>
      </c>
      <c r="I223" s="124">
        <f t="shared" si="16"/>
        <v>0</v>
      </c>
      <c r="J223" s="122">
        <f t="shared" si="16"/>
        <v>0</v>
      </c>
      <c r="K223" s="122">
        <f t="shared" si="17"/>
        <v>0</v>
      </c>
      <c r="L223" s="122">
        <v>0</v>
      </c>
      <c r="M223" s="122">
        <v>0</v>
      </c>
      <c r="N223" s="122">
        <v>0</v>
      </c>
      <c r="O223" s="122">
        <f t="shared" si="18"/>
        <v>2.6099662161425141</v>
      </c>
      <c r="P223" s="122">
        <f>H309</f>
        <v>0</v>
      </c>
      <c r="Q223" s="123">
        <f t="shared" si="20"/>
        <v>-2.6099662161425141</v>
      </c>
      <c r="R223" s="123">
        <f t="shared" si="20"/>
        <v>0</v>
      </c>
      <c r="S223" s="122">
        <f t="shared" si="21"/>
        <v>0</v>
      </c>
      <c r="T223" s="122">
        <f t="shared" si="22"/>
        <v>0</v>
      </c>
      <c r="U223" s="122">
        <f t="shared" si="23"/>
        <v>0</v>
      </c>
      <c r="V223" s="121">
        <f t="shared" si="24"/>
        <v>0</v>
      </c>
      <c r="W223" s="121">
        <f t="shared" si="25"/>
        <v>0</v>
      </c>
      <c r="X223" s="121">
        <f t="shared" si="26"/>
        <v>0</v>
      </c>
      <c r="Z223" s="120"/>
      <c r="AA223" s="120"/>
    </row>
    <row r="224" spans="2:27" x14ac:dyDescent="0.25">
      <c r="B224" s="96">
        <v>18</v>
      </c>
      <c r="C224" s="125">
        <v>0</v>
      </c>
      <c r="D224" s="125">
        <f t="shared" si="27"/>
        <v>2760.7739999999999</v>
      </c>
      <c r="E224" s="126">
        <f t="shared" si="15"/>
        <v>0</v>
      </c>
      <c r="F224" s="125">
        <v>0</v>
      </c>
      <c r="G224" s="125">
        <v>0</v>
      </c>
      <c r="H224" s="125">
        <v>0</v>
      </c>
      <c r="I224" s="124">
        <f t="shared" si="16"/>
        <v>0</v>
      </c>
      <c r="J224" s="122">
        <f t="shared" si="16"/>
        <v>0</v>
      </c>
      <c r="K224" s="122">
        <f t="shared" si="17"/>
        <v>0</v>
      </c>
      <c r="L224" s="122">
        <v>0</v>
      </c>
      <c r="M224" s="122">
        <v>0</v>
      </c>
      <c r="N224" s="122">
        <v>0</v>
      </c>
      <c r="O224" s="122">
        <f t="shared" si="18"/>
        <v>2.6099662161425141</v>
      </c>
      <c r="P224" s="122">
        <f>H309</f>
        <v>0</v>
      </c>
      <c r="Q224" s="123">
        <f t="shared" si="20"/>
        <v>-2.6099662161425141</v>
      </c>
      <c r="R224" s="123">
        <f t="shared" si="20"/>
        <v>0</v>
      </c>
      <c r="S224" s="122">
        <f t="shared" si="21"/>
        <v>0</v>
      </c>
      <c r="T224" s="122">
        <f t="shared" si="22"/>
        <v>0</v>
      </c>
      <c r="U224" s="122">
        <f t="shared" si="23"/>
        <v>0</v>
      </c>
      <c r="V224" s="121">
        <f t="shared" si="24"/>
        <v>0</v>
      </c>
      <c r="W224" s="121">
        <f t="shared" si="25"/>
        <v>0</v>
      </c>
      <c r="X224" s="121">
        <f t="shared" si="26"/>
        <v>0</v>
      </c>
      <c r="Z224" s="120"/>
      <c r="AA224" s="120"/>
    </row>
    <row r="225" spans="1:30" x14ac:dyDescent="0.25">
      <c r="B225" s="96">
        <v>19</v>
      </c>
      <c r="C225" s="125">
        <v>0</v>
      </c>
      <c r="D225" s="125">
        <f t="shared" si="27"/>
        <v>2760.7739999999999</v>
      </c>
      <c r="E225" s="126">
        <f t="shared" si="15"/>
        <v>0</v>
      </c>
      <c r="F225" s="125">
        <v>0</v>
      </c>
      <c r="G225" s="125">
        <v>0</v>
      </c>
      <c r="H225" s="125">
        <v>0</v>
      </c>
      <c r="I225" s="124">
        <f t="shared" si="16"/>
        <v>0</v>
      </c>
      <c r="J225" s="122">
        <f t="shared" si="16"/>
        <v>0</v>
      </c>
      <c r="K225" s="122">
        <f t="shared" si="17"/>
        <v>0</v>
      </c>
      <c r="L225" s="122">
        <v>0</v>
      </c>
      <c r="M225" s="122">
        <v>0</v>
      </c>
      <c r="N225" s="122">
        <v>0</v>
      </c>
      <c r="O225" s="122">
        <f t="shared" si="18"/>
        <v>2.6099662161425141</v>
      </c>
      <c r="P225" s="122">
        <f>H309</f>
        <v>0</v>
      </c>
      <c r="Q225" s="123">
        <f t="shared" si="20"/>
        <v>-2.6099662161425141</v>
      </c>
      <c r="R225" s="123">
        <f t="shared" si="20"/>
        <v>0</v>
      </c>
      <c r="S225" s="122">
        <f t="shared" si="21"/>
        <v>0</v>
      </c>
      <c r="T225" s="122">
        <f t="shared" si="22"/>
        <v>0</v>
      </c>
      <c r="U225" s="122">
        <f t="shared" si="23"/>
        <v>0</v>
      </c>
      <c r="V225" s="121">
        <f t="shared" si="24"/>
        <v>0</v>
      </c>
      <c r="W225" s="121">
        <f t="shared" si="25"/>
        <v>0</v>
      </c>
      <c r="X225" s="121">
        <f t="shared" si="26"/>
        <v>0</v>
      </c>
      <c r="Z225" s="120"/>
      <c r="AA225" s="120"/>
    </row>
    <row r="226" spans="1:30" x14ac:dyDescent="0.25">
      <c r="B226" s="96">
        <v>20</v>
      </c>
      <c r="C226" s="125">
        <v>0</v>
      </c>
      <c r="D226" s="125">
        <f t="shared" si="27"/>
        <v>2760.7739999999999</v>
      </c>
      <c r="E226" s="126">
        <f t="shared" si="15"/>
        <v>0</v>
      </c>
      <c r="F226" s="125">
        <v>0</v>
      </c>
      <c r="G226" s="125">
        <v>0</v>
      </c>
      <c r="H226" s="125">
        <v>0</v>
      </c>
      <c r="I226" s="124">
        <f t="shared" si="16"/>
        <v>0</v>
      </c>
      <c r="J226" s="122">
        <f t="shared" si="16"/>
        <v>0</v>
      </c>
      <c r="K226" s="122">
        <f t="shared" si="17"/>
        <v>0</v>
      </c>
      <c r="L226" s="122">
        <v>0</v>
      </c>
      <c r="M226" s="122">
        <v>0</v>
      </c>
      <c r="N226" s="122">
        <v>0</v>
      </c>
      <c r="O226" s="122">
        <f t="shared" si="18"/>
        <v>2.6099662161425141</v>
      </c>
      <c r="P226" s="122">
        <f>H309</f>
        <v>0</v>
      </c>
      <c r="Q226" s="123">
        <f t="shared" si="20"/>
        <v>-2.6099662161425141</v>
      </c>
      <c r="R226" s="123">
        <f t="shared" si="20"/>
        <v>0</v>
      </c>
      <c r="S226" s="122">
        <f t="shared" si="21"/>
        <v>0</v>
      </c>
      <c r="T226" s="122">
        <f t="shared" si="22"/>
        <v>0</v>
      </c>
      <c r="U226" s="122">
        <f t="shared" si="23"/>
        <v>0</v>
      </c>
      <c r="V226" s="121">
        <f t="shared" si="24"/>
        <v>0</v>
      </c>
      <c r="W226" s="121">
        <f t="shared" si="25"/>
        <v>0</v>
      </c>
      <c r="X226" s="121">
        <f t="shared" si="26"/>
        <v>0</v>
      </c>
      <c r="Z226" s="120"/>
      <c r="AA226" s="120"/>
    </row>
    <row r="227" spans="1:30" ht="15.75" thickBot="1" x14ac:dyDescent="0.3">
      <c r="B227" s="96">
        <v>21</v>
      </c>
      <c r="C227" s="125">
        <v>0</v>
      </c>
      <c r="D227" s="125">
        <f t="shared" si="27"/>
        <v>2760.7739999999999</v>
      </c>
      <c r="E227" s="126">
        <f t="shared" si="15"/>
        <v>0</v>
      </c>
      <c r="F227" s="125">
        <v>0</v>
      </c>
      <c r="G227" s="125">
        <v>0</v>
      </c>
      <c r="H227" s="125">
        <v>0</v>
      </c>
      <c r="I227" s="124">
        <f t="shared" si="16"/>
        <v>0</v>
      </c>
      <c r="J227" s="122">
        <f t="shared" si="16"/>
        <v>0</v>
      </c>
      <c r="K227" s="122">
        <f t="shared" si="17"/>
        <v>0</v>
      </c>
      <c r="L227" s="122">
        <v>0</v>
      </c>
      <c r="M227" s="122">
        <v>0</v>
      </c>
      <c r="N227" s="122">
        <v>0</v>
      </c>
      <c r="O227" s="122">
        <f t="shared" si="18"/>
        <v>2.6099662161425141</v>
      </c>
      <c r="P227" s="122">
        <f>H309</f>
        <v>0</v>
      </c>
      <c r="Q227" s="123">
        <f t="shared" si="20"/>
        <v>-2.6099662161425141</v>
      </c>
      <c r="R227" s="123">
        <f t="shared" si="20"/>
        <v>0</v>
      </c>
      <c r="S227" s="122">
        <f t="shared" si="21"/>
        <v>0</v>
      </c>
      <c r="T227" s="122">
        <f t="shared" si="22"/>
        <v>0</v>
      </c>
      <c r="U227" s="122">
        <f t="shared" si="23"/>
        <v>0</v>
      </c>
      <c r="V227" s="121">
        <f t="shared" si="24"/>
        <v>0</v>
      </c>
      <c r="W227" s="121">
        <f t="shared" si="25"/>
        <v>0</v>
      </c>
      <c r="X227" s="121">
        <f t="shared" si="26"/>
        <v>0</v>
      </c>
      <c r="Z227" s="120"/>
      <c r="AA227" s="120"/>
    </row>
    <row r="228" spans="1:30" x14ac:dyDescent="0.25">
      <c r="A228" s="83">
        <f>AQ5</f>
        <v>1</v>
      </c>
      <c r="B228" s="473">
        <v>22</v>
      </c>
      <c r="C228" s="475">
        <v>2760.7739999999999</v>
      </c>
      <c r="D228" s="475">
        <f t="shared" si="27"/>
        <v>2760.7739999999999</v>
      </c>
      <c r="E228" s="476">
        <f t="shared" si="15"/>
        <v>1</v>
      </c>
      <c r="F228" s="477">
        <f>AT5</f>
        <v>5.7490295915822776</v>
      </c>
      <c r="G228" s="477">
        <f>AU5</f>
        <v>0</v>
      </c>
      <c r="H228" s="478">
        <f>AR5*AS5</f>
        <v>1.4011508767063929E-2</v>
      </c>
      <c r="I228" s="479">
        <f t="shared" si="16"/>
        <v>1.4011508767063929E-2</v>
      </c>
      <c r="J228" s="480">
        <f t="shared" si="16"/>
        <v>8.0552578524565044E-2</v>
      </c>
      <c r="K228" s="480">
        <f t="shared" si="17"/>
        <v>0</v>
      </c>
      <c r="L228" s="481">
        <f>AV5</f>
        <v>2.6372639435197406E-6</v>
      </c>
      <c r="M228" s="481">
        <f t="shared" ref="M228:N243" si="28">AW5</f>
        <v>1.0149006303221125E-4</v>
      </c>
      <c r="N228" s="481">
        <f t="shared" si="28"/>
        <v>0</v>
      </c>
      <c r="O228" s="480">
        <f t="shared" si="18"/>
        <v>2.6099662161425141</v>
      </c>
      <c r="P228" s="480">
        <f>H309</f>
        <v>0</v>
      </c>
      <c r="Q228" s="482">
        <f t="shared" si="20"/>
        <v>3.1390633754397634</v>
      </c>
      <c r="R228" s="482">
        <f t="shared" si="20"/>
        <v>0</v>
      </c>
      <c r="S228" s="480">
        <f t="shared" si="21"/>
        <v>0.13806546840562806</v>
      </c>
      <c r="T228" s="480">
        <f t="shared" si="22"/>
        <v>0</v>
      </c>
      <c r="U228" s="480">
        <f t="shared" si="23"/>
        <v>0</v>
      </c>
      <c r="V228" s="483">
        <f t="shared" si="24"/>
        <v>2.6372639435197406E-6</v>
      </c>
      <c r="W228" s="483">
        <f t="shared" si="25"/>
        <v>0.13816695846866026</v>
      </c>
      <c r="X228" s="484">
        <f t="shared" si="26"/>
        <v>0</v>
      </c>
      <c r="Z228" s="111"/>
      <c r="AA228" s="111"/>
    </row>
    <row r="229" spans="1:30" x14ac:dyDescent="0.25">
      <c r="A229" s="77">
        <f t="shared" ref="A229:A244" si="29">AQ6</f>
        <v>2</v>
      </c>
      <c r="B229" s="340">
        <v>23</v>
      </c>
      <c r="C229" s="485">
        <v>2760.7739999999999</v>
      </c>
      <c r="D229" s="485">
        <f t="shared" si="27"/>
        <v>2760.7739999999999</v>
      </c>
      <c r="E229" s="486">
        <f t="shared" si="15"/>
        <v>1</v>
      </c>
      <c r="F229" s="373">
        <f t="shared" ref="F229:G244" si="30">AT6</f>
        <v>5.4542075612447247</v>
      </c>
      <c r="G229" s="373">
        <f t="shared" si="30"/>
        <v>0</v>
      </c>
      <c r="H229" s="487">
        <f t="shared" ref="H229:H244" si="31">AR6*AS6</f>
        <v>2.5172040564154553E-2</v>
      </c>
      <c r="I229" s="488">
        <f t="shared" si="16"/>
        <v>2.5172040564154553E-2</v>
      </c>
      <c r="J229" s="489">
        <f t="shared" si="16"/>
        <v>0.13729353397697069</v>
      </c>
      <c r="K229" s="489">
        <f t="shared" si="17"/>
        <v>0</v>
      </c>
      <c r="L229" s="152">
        <f t="shared" ref="L229:N244" si="32">AV6</f>
        <v>1.5291643244744402E-5</v>
      </c>
      <c r="M229" s="489">
        <f t="shared" si="28"/>
        <v>1.8232954251940682E-4</v>
      </c>
      <c r="N229" s="489">
        <f t="shared" si="28"/>
        <v>0</v>
      </c>
      <c r="O229" s="489">
        <f t="shared" si="18"/>
        <v>2.6099662161425141</v>
      </c>
      <c r="P229" s="489">
        <f>H309</f>
        <v>0</v>
      </c>
      <c r="Q229" s="490">
        <f t="shared" si="20"/>
        <v>2.8442413451022106</v>
      </c>
      <c r="R229" s="490">
        <f t="shared" si="20"/>
        <v>0</v>
      </c>
      <c r="S229" s="489">
        <f t="shared" si="21"/>
        <v>0.20363447880054053</v>
      </c>
      <c r="T229" s="489">
        <f t="shared" si="22"/>
        <v>0</v>
      </c>
      <c r="U229" s="489">
        <f t="shared" si="23"/>
        <v>0</v>
      </c>
      <c r="V229" s="491">
        <f t="shared" si="24"/>
        <v>1.5291643244744402E-5</v>
      </c>
      <c r="W229" s="491">
        <f t="shared" si="25"/>
        <v>0.20381680834305993</v>
      </c>
      <c r="X229" s="492">
        <f t="shared" si="26"/>
        <v>0</v>
      </c>
      <c r="Z229" s="111"/>
      <c r="AA229" s="111"/>
    </row>
    <row r="230" spans="1:30" x14ac:dyDescent="0.25">
      <c r="A230" s="77">
        <f t="shared" si="29"/>
        <v>3</v>
      </c>
      <c r="B230" s="340">
        <v>24</v>
      </c>
      <c r="C230" s="485">
        <v>2760.7739999999999</v>
      </c>
      <c r="D230" s="485">
        <f t="shared" si="27"/>
        <v>2760.7739999999999</v>
      </c>
      <c r="E230" s="486">
        <f t="shared" si="15"/>
        <v>1</v>
      </c>
      <c r="F230" s="373">
        <f t="shared" si="30"/>
        <v>5.0119745157383955</v>
      </c>
      <c r="G230" s="373">
        <f t="shared" si="30"/>
        <v>0</v>
      </c>
      <c r="H230" s="487">
        <f t="shared" si="31"/>
        <v>9.1231263039145791E-2</v>
      </c>
      <c r="I230" s="488">
        <f t="shared" si="16"/>
        <v>9.1231263039145791E-2</v>
      </c>
      <c r="J230" s="489">
        <f t="shared" si="16"/>
        <v>0.45724876539082493</v>
      </c>
      <c r="K230" s="489">
        <f t="shared" si="17"/>
        <v>0</v>
      </c>
      <c r="L230" s="152">
        <f t="shared" si="32"/>
        <v>1.8199940137836269E-4</v>
      </c>
      <c r="M230" s="489">
        <f t="shared" si="28"/>
        <v>2.6432746937620085E-3</v>
      </c>
      <c r="N230" s="489">
        <f t="shared" si="28"/>
        <v>0</v>
      </c>
      <c r="O230" s="489">
        <f t="shared" si="18"/>
        <v>2.6099662161425141</v>
      </c>
      <c r="P230" s="489">
        <f>H309</f>
        <v>0</v>
      </c>
      <c r="Q230" s="490">
        <f t="shared" si="20"/>
        <v>2.4020082995958814</v>
      </c>
      <c r="R230" s="490">
        <f t="shared" si="20"/>
        <v>0</v>
      </c>
      <c r="S230" s="489">
        <f t="shared" si="21"/>
        <v>0.52637189766727432</v>
      </c>
      <c r="T230" s="489">
        <f t="shared" si="22"/>
        <v>0</v>
      </c>
      <c r="U230" s="489">
        <f t="shared" si="23"/>
        <v>0</v>
      </c>
      <c r="V230" s="491">
        <f t="shared" si="24"/>
        <v>1.8199940137836269E-4</v>
      </c>
      <c r="W230" s="491">
        <f t="shared" si="25"/>
        <v>0.52901517236103635</v>
      </c>
      <c r="X230" s="492">
        <f t="shared" si="26"/>
        <v>0</v>
      </c>
      <c r="Z230" s="111"/>
      <c r="AA230" s="111"/>
    </row>
    <row r="231" spans="1:30" x14ac:dyDescent="0.25">
      <c r="A231" s="77">
        <f t="shared" si="29"/>
        <v>4</v>
      </c>
      <c r="B231" s="340">
        <v>25</v>
      </c>
      <c r="C231" s="485">
        <v>2760.7739999999999</v>
      </c>
      <c r="D231" s="485">
        <f t="shared" si="27"/>
        <v>2760.7739999999999</v>
      </c>
      <c r="E231" s="486">
        <f t="shared" si="15"/>
        <v>1</v>
      </c>
      <c r="F231" s="373">
        <f t="shared" si="30"/>
        <v>4.4223304550632907</v>
      </c>
      <c r="G231" s="373">
        <f t="shared" si="30"/>
        <v>0</v>
      </c>
      <c r="H231" s="487">
        <f t="shared" si="31"/>
        <v>0.12738999534124604</v>
      </c>
      <c r="I231" s="488">
        <f t="shared" si="16"/>
        <v>0.12738999534124604</v>
      </c>
      <c r="J231" s="489">
        <f t="shared" si="16"/>
        <v>0.56336065606796304</v>
      </c>
      <c r="K231" s="489">
        <f t="shared" si="17"/>
        <v>0</v>
      </c>
      <c r="L231" s="152">
        <f t="shared" si="32"/>
        <v>4.9550137321157067E-4</v>
      </c>
      <c r="M231" s="489">
        <f t="shared" si="28"/>
        <v>3.6909140540944945E-3</v>
      </c>
      <c r="N231" s="489">
        <f t="shared" si="28"/>
        <v>0</v>
      </c>
      <c r="O231" s="489">
        <f t="shared" si="18"/>
        <v>2.6099662161425141</v>
      </c>
      <c r="P231" s="489">
        <f>H309</f>
        <v>0</v>
      </c>
      <c r="Q231" s="490">
        <f t="shared" si="20"/>
        <v>1.8123642389207766</v>
      </c>
      <c r="R231" s="490">
        <f t="shared" si="20"/>
        <v>0</v>
      </c>
      <c r="S231" s="489">
        <f t="shared" si="21"/>
        <v>0.4184333487939188</v>
      </c>
      <c r="T231" s="489">
        <f t="shared" si="22"/>
        <v>0</v>
      </c>
      <c r="U231" s="489">
        <f t="shared" si="23"/>
        <v>0</v>
      </c>
      <c r="V231" s="491">
        <f t="shared" si="24"/>
        <v>4.9550137321157067E-4</v>
      </c>
      <c r="W231" s="491">
        <f t="shared" si="25"/>
        <v>0.4221242628480133</v>
      </c>
      <c r="X231" s="492">
        <f t="shared" si="26"/>
        <v>0</v>
      </c>
      <c r="Z231" s="111"/>
      <c r="AA231" s="111"/>
    </row>
    <row r="232" spans="1:30" x14ac:dyDescent="0.25">
      <c r="A232" s="77">
        <f t="shared" si="29"/>
        <v>5</v>
      </c>
      <c r="B232" s="340">
        <v>26</v>
      </c>
      <c r="C232" s="485">
        <v>2760.7739999999999</v>
      </c>
      <c r="D232" s="485">
        <f t="shared" si="27"/>
        <v>2760.7739999999999</v>
      </c>
      <c r="E232" s="486">
        <f t="shared" si="15"/>
        <v>1</v>
      </c>
      <c r="F232" s="373">
        <f t="shared" si="30"/>
        <v>3.832686394388185</v>
      </c>
      <c r="G232" s="373">
        <f t="shared" si="30"/>
        <v>0</v>
      </c>
      <c r="H232" s="487">
        <f t="shared" si="31"/>
        <v>0.15868120598729463</v>
      </c>
      <c r="I232" s="488">
        <f t="shared" si="16"/>
        <v>0.15868120598729463</v>
      </c>
      <c r="J232" s="489">
        <f t="shared" si="16"/>
        <v>0.60817529923261315</v>
      </c>
      <c r="K232" s="489">
        <f t="shared" si="17"/>
        <v>0</v>
      </c>
      <c r="L232" s="152">
        <f t="shared" si="32"/>
        <v>9.5766887924724419E-4</v>
      </c>
      <c r="M232" s="489">
        <f t="shared" si="28"/>
        <v>4.5975250389976297E-3</v>
      </c>
      <c r="N232" s="489">
        <f t="shared" si="28"/>
        <v>0</v>
      </c>
      <c r="O232" s="489">
        <f t="shared" si="18"/>
        <v>2.6099662161425141</v>
      </c>
      <c r="P232" s="489">
        <f>H309</f>
        <v>0</v>
      </c>
      <c r="Q232" s="490">
        <f t="shared" si="20"/>
        <v>1.2227201782456709</v>
      </c>
      <c r="R232" s="490">
        <f t="shared" si="20"/>
        <v>0</v>
      </c>
      <c r="S232" s="489">
        <f t="shared" si="21"/>
        <v>0.23723548557383226</v>
      </c>
      <c r="T232" s="489">
        <f t="shared" si="22"/>
        <v>0</v>
      </c>
      <c r="U232" s="489">
        <f t="shared" si="23"/>
        <v>0</v>
      </c>
      <c r="V232" s="491">
        <f t="shared" si="24"/>
        <v>9.5766887924724419E-4</v>
      </c>
      <c r="W232" s="491">
        <f t="shared" si="25"/>
        <v>0.24183301061282989</v>
      </c>
      <c r="X232" s="492">
        <f t="shared" si="26"/>
        <v>0</v>
      </c>
      <c r="Z232" s="111"/>
      <c r="AA232" s="111"/>
    </row>
    <row r="233" spans="1:30" x14ac:dyDescent="0.25">
      <c r="A233" s="77">
        <f t="shared" si="29"/>
        <v>6</v>
      </c>
      <c r="B233" s="340">
        <v>27</v>
      </c>
      <c r="C233" s="485">
        <v>2760.7739999999999</v>
      </c>
      <c r="D233" s="485">
        <f t="shared" si="27"/>
        <v>2760.7739999999999</v>
      </c>
      <c r="E233" s="486">
        <f t="shared" si="15"/>
        <v>1</v>
      </c>
      <c r="F233" s="373">
        <f t="shared" si="30"/>
        <v>3.2430423337130798</v>
      </c>
      <c r="G233" s="373">
        <f t="shared" si="30"/>
        <v>0</v>
      </c>
      <c r="H233" s="487">
        <f t="shared" si="31"/>
        <v>0.18406185462242294</v>
      </c>
      <c r="I233" s="488">
        <f t="shared" si="16"/>
        <v>0.18406185462242294</v>
      </c>
      <c r="J233" s="489">
        <f t="shared" si="16"/>
        <v>0.5969203865622601</v>
      </c>
      <c r="K233" s="489">
        <f t="shared" si="17"/>
        <v>0</v>
      </c>
      <c r="L233" s="152">
        <f t="shared" si="32"/>
        <v>1.4946182411281767E-3</v>
      </c>
      <c r="M233" s="489">
        <f t="shared" si="28"/>
        <v>5.3328872823079536E-3</v>
      </c>
      <c r="N233" s="489">
        <f t="shared" si="28"/>
        <v>0</v>
      </c>
      <c r="O233" s="489">
        <f t="shared" si="18"/>
        <v>2.6099662161425141</v>
      </c>
      <c r="P233" s="489">
        <f>H309</f>
        <v>0</v>
      </c>
      <c r="Q233" s="490">
        <f t="shared" si="20"/>
        <v>0.6330761175705657</v>
      </c>
      <c r="R233" s="490">
        <f t="shared" si="20"/>
        <v>0</v>
      </c>
      <c r="S233" s="489">
        <f t="shared" si="21"/>
        <v>7.3769298625206078E-2</v>
      </c>
      <c r="T233" s="489">
        <f t="shared" si="22"/>
        <v>0</v>
      </c>
      <c r="U233" s="489">
        <f t="shared" si="23"/>
        <v>0</v>
      </c>
      <c r="V233" s="491">
        <f t="shared" si="24"/>
        <v>1.4946182411281767E-3</v>
      </c>
      <c r="W233" s="491">
        <f t="shared" si="25"/>
        <v>7.9102185907514028E-2</v>
      </c>
      <c r="X233" s="492">
        <f t="shared" si="26"/>
        <v>0</v>
      </c>
      <c r="Z233" s="111"/>
      <c r="AA233" s="111"/>
    </row>
    <row r="234" spans="1:30" x14ac:dyDescent="0.25">
      <c r="A234" s="77">
        <f t="shared" si="29"/>
        <v>7</v>
      </c>
      <c r="B234" s="340">
        <v>28</v>
      </c>
      <c r="C234" s="485">
        <v>2760.7739999999999</v>
      </c>
      <c r="D234" s="485">
        <f t="shared" si="27"/>
        <v>2760.7739999999999</v>
      </c>
      <c r="E234" s="486">
        <f t="shared" si="15"/>
        <v>1</v>
      </c>
      <c r="F234" s="373">
        <f t="shared" si="30"/>
        <v>2.6533982730379742</v>
      </c>
      <c r="G234" s="373">
        <f t="shared" si="30"/>
        <v>0</v>
      </c>
      <c r="H234" s="487">
        <f t="shared" si="31"/>
        <v>0.20179354065518376</v>
      </c>
      <c r="I234" s="488">
        <f t="shared" si="16"/>
        <v>0.20179354065518376</v>
      </c>
      <c r="J234" s="489">
        <f t="shared" si="16"/>
        <v>0.5354386322846828</v>
      </c>
      <c r="K234" s="489">
        <f t="shared" si="17"/>
        <v>0</v>
      </c>
      <c r="L234" s="152">
        <f t="shared" si="32"/>
        <v>1.9695212851925104E-3</v>
      </c>
      <c r="M234" s="489">
        <f t="shared" si="28"/>
        <v>5.8466335070863941E-3</v>
      </c>
      <c r="N234" s="489">
        <f t="shared" si="28"/>
        <v>0</v>
      </c>
      <c r="O234" s="489">
        <f t="shared" si="18"/>
        <v>2.6099662161425141</v>
      </c>
      <c r="P234" s="489">
        <f>H309</f>
        <v>0</v>
      </c>
      <c r="Q234" s="490">
        <f t="shared" si="20"/>
        <v>4.3432056895460036E-2</v>
      </c>
      <c r="R234" s="490">
        <f t="shared" si="20"/>
        <v>0</v>
      </c>
      <c r="S234" s="489">
        <f t="shared" si="21"/>
        <v>3.806519471096666E-4</v>
      </c>
      <c r="T234" s="489">
        <f t="shared" si="22"/>
        <v>0</v>
      </c>
      <c r="U234" s="489">
        <f t="shared" si="23"/>
        <v>0</v>
      </c>
      <c r="V234" s="491">
        <f t="shared" si="24"/>
        <v>1.9695212851925104E-3</v>
      </c>
      <c r="W234" s="491">
        <f t="shared" si="25"/>
        <v>6.2272854541960609E-3</v>
      </c>
      <c r="X234" s="492">
        <f t="shared" si="26"/>
        <v>0</v>
      </c>
      <c r="Z234" s="111"/>
      <c r="AA234" s="111"/>
    </row>
    <row r="235" spans="1:30" x14ac:dyDescent="0.25">
      <c r="A235" s="77">
        <f>AQ12</f>
        <v>8</v>
      </c>
      <c r="B235" s="340">
        <v>29</v>
      </c>
      <c r="C235" s="485">
        <v>2760.7739999999999</v>
      </c>
      <c r="D235" s="485">
        <f t="shared" si="27"/>
        <v>2760.7739999999999</v>
      </c>
      <c r="E235" s="486">
        <f t="shared" si="15"/>
        <v>1</v>
      </c>
      <c r="F235" s="373">
        <f t="shared" si="30"/>
        <v>2.0637542123628689</v>
      </c>
      <c r="G235" s="373">
        <f t="shared" si="30"/>
        <v>0</v>
      </c>
      <c r="H235" s="487">
        <f t="shared" si="31"/>
        <v>0.20867760699731416</v>
      </c>
      <c r="I235" s="488">
        <f t="shared" si="16"/>
        <v>0.20867760699731416</v>
      </c>
      <c r="J235" s="489">
        <f t="shared" si="16"/>
        <v>0.43065929046651041</v>
      </c>
      <c r="K235" s="489">
        <f t="shared" si="17"/>
        <v>0</v>
      </c>
      <c r="L235" s="152">
        <f t="shared" si="32"/>
        <v>2.1780429555006454E-3</v>
      </c>
      <c r="M235" s="489">
        <f t="shared" si="28"/>
        <v>6.0460879237650604E-3</v>
      </c>
      <c r="N235" s="489">
        <f t="shared" si="28"/>
        <v>0</v>
      </c>
      <c r="O235" s="489">
        <f t="shared" si="18"/>
        <v>2.6099662161425141</v>
      </c>
      <c r="P235" s="489">
        <f>H309</f>
        <v>0</v>
      </c>
      <c r="Q235" s="490">
        <f t="shared" si="20"/>
        <v>-0.54621200377964518</v>
      </c>
      <c r="R235" s="490">
        <f t="shared" si="20"/>
        <v>0</v>
      </c>
      <c r="S235" s="489">
        <f t="shared" si="21"/>
        <v>6.2258453428772627E-2</v>
      </c>
      <c r="T235" s="489">
        <f t="shared" si="22"/>
        <v>0</v>
      </c>
      <c r="U235" s="489">
        <f t="shared" si="23"/>
        <v>0</v>
      </c>
      <c r="V235" s="491">
        <f t="shared" si="24"/>
        <v>2.1780429555006454E-3</v>
      </c>
      <c r="W235" s="491">
        <f t="shared" si="25"/>
        <v>6.830454135253769E-2</v>
      </c>
      <c r="X235" s="492">
        <f t="shared" si="26"/>
        <v>0</v>
      </c>
      <c r="Z235" s="111"/>
      <c r="AA235" s="111"/>
      <c r="AC235" s="136"/>
      <c r="AD235" s="136"/>
    </row>
    <row r="236" spans="1:30" x14ac:dyDescent="0.25">
      <c r="A236" s="77">
        <f t="shared" si="29"/>
        <v>9</v>
      </c>
      <c r="B236" s="340">
        <v>30</v>
      </c>
      <c r="C236" s="485">
        <v>2760.7739999999999</v>
      </c>
      <c r="D236" s="485">
        <f t="shared" si="27"/>
        <v>2760.7739999999999</v>
      </c>
      <c r="E236" s="486">
        <f t="shared" si="15"/>
        <v>1</v>
      </c>
      <c r="F236" s="373">
        <f t="shared" si="30"/>
        <v>1.6215211668565399</v>
      </c>
      <c r="G236" s="373">
        <f t="shared" si="30"/>
        <v>0</v>
      </c>
      <c r="H236" s="487">
        <f t="shared" si="31"/>
        <v>0.10329576314378892</v>
      </c>
      <c r="I236" s="488">
        <f t="shared" si="16"/>
        <v>0.10329576314378892</v>
      </c>
      <c r="J236" s="489">
        <f t="shared" si="16"/>
        <v>0.16749626638425338</v>
      </c>
      <c r="K236" s="489">
        <f t="shared" si="17"/>
        <v>0</v>
      </c>
      <c r="L236" s="152">
        <f t="shared" si="32"/>
        <v>1.0566871208184312E-3</v>
      </c>
      <c r="M236" s="489">
        <f t="shared" si="28"/>
        <v>7.4820589892977583E-4</v>
      </c>
      <c r="N236" s="489">
        <f t="shared" si="28"/>
        <v>0</v>
      </c>
      <c r="O236" s="489">
        <f t="shared" si="18"/>
        <v>2.6099662161425141</v>
      </c>
      <c r="P236" s="489">
        <f>H309</f>
        <v>0</v>
      </c>
      <c r="Q236" s="490">
        <f t="shared" si="20"/>
        <v>-0.98844504928597421</v>
      </c>
      <c r="R236" s="490">
        <f t="shared" si="20"/>
        <v>0</v>
      </c>
      <c r="S236" s="489">
        <f t="shared" si="21"/>
        <v>0.10092239996823292</v>
      </c>
      <c r="T236" s="489">
        <f t="shared" si="22"/>
        <v>0</v>
      </c>
      <c r="U236" s="489">
        <f t="shared" si="23"/>
        <v>0</v>
      </c>
      <c r="V236" s="491">
        <f t="shared" si="24"/>
        <v>1.0566871208184312E-3</v>
      </c>
      <c r="W236" s="491">
        <f t="shared" si="25"/>
        <v>0.1016706058671627</v>
      </c>
      <c r="X236" s="492">
        <f t="shared" si="26"/>
        <v>0</v>
      </c>
      <c r="Z236" s="111"/>
      <c r="AA236" s="111"/>
    </row>
    <row r="237" spans="1:30" x14ac:dyDescent="0.25">
      <c r="A237" s="77">
        <f t="shared" si="29"/>
        <v>10</v>
      </c>
      <c r="B237" s="340">
        <v>31</v>
      </c>
      <c r="C237" s="485">
        <v>2760.7739999999999</v>
      </c>
      <c r="D237" s="485">
        <f t="shared" si="27"/>
        <v>2760.7739999999999</v>
      </c>
      <c r="E237" s="486">
        <f t="shared" si="15"/>
        <v>1</v>
      </c>
      <c r="F237" s="373">
        <f t="shared" si="30"/>
        <v>1.3266991365189871</v>
      </c>
      <c r="G237" s="373">
        <f t="shared" si="30"/>
        <v>0</v>
      </c>
      <c r="H237" s="487">
        <f t="shared" si="31"/>
        <v>9.9749425937236777E-2</v>
      </c>
      <c r="I237" s="488">
        <f t="shared" si="16"/>
        <v>9.9749425937236777E-2</v>
      </c>
      <c r="J237" s="489">
        <f t="shared" si="16"/>
        <v>0.13233747725919667</v>
      </c>
      <c r="K237" s="489">
        <f t="shared" si="17"/>
        <v>0</v>
      </c>
      <c r="L237" s="152">
        <f t="shared" si="32"/>
        <v>9.5154669132416518E-4</v>
      </c>
      <c r="M237" s="489">
        <f t="shared" si="28"/>
        <v>7.2251858769085389E-4</v>
      </c>
      <c r="N237" s="489">
        <f t="shared" si="28"/>
        <v>0</v>
      </c>
      <c r="O237" s="489">
        <f t="shared" si="18"/>
        <v>2.6099662161425141</v>
      </c>
      <c r="P237" s="489">
        <f>H309</f>
        <v>0</v>
      </c>
      <c r="Q237" s="490">
        <f t="shared" si="20"/>
        <v>-1.283267079623527</v>
      </c>
      <c r="R237" s="490">
        <f t="shared" si="20"/>
        <v>0</v>
      </c>
      <c r="S237" s="489">
        <f t="shared" si="21"/>
        <v>0.16426480081327707</v>
      </c>
      <c r="T237" s="489">
        <f t="shared" si="22"/>
        <v>0</v>
      </c>
      <c r="U237" s="489">
        <f t="shared" si="23"/>
        <v>0</v>
      </c>
      <c r="V237" s="491">
        <f t="shared" si="24"/>
        <v>9.5154669132416518E-4</v>
      </c>
      <c r="W237" s="491">
        <f t="shared" si="25"/>
        <v>0.16498731940096792</v>
      </c>
      <c r="X237" s="492">
        <f t="shared" si="26"/>
        <v>0</v>
      </c>
      <c r="Z237" s="111"/>
      <c r="AA237" s="111"/>
    </row>
    <row r="238" spans="1:30" x14ac:dyDescent="0.25">
      <c r="A238" s="77">
        <f t="shared" si="29"/>
        <v>11</v>
      </c>
      <c r="B238" s="340">
        <v>32</v>
      </c>
      <c r="C238" s="485">
        <v>2760.7739999999999</v>
      </c>
      <c r="D238" s="485">
        <f t="shared" si="27"/>
        <v>2760.7739999999999</v>
      </c>
      <c r="E238" s="486">
        <f t="shared" si="15"/>
        <v>1</v>
      </c>
      <c r="F238" s="373">
        <f t="shared" si="30"/>
        <v>1.0318771061814345</v>
      </c>
      <c r="G238" s="373">
        <f t="shared" si="30"/>
        <v>0</v>
      </c>
      <c r="H238" s="487">
        <f t="shared" si="31"/>
        <v>9.2934895618763877E-2</v>
      </c>
      <c r="I238" s="488">
        <f t="shared" si="16"/>
        <v>9.2934895618763877E-2</v>
      </c>
      <c r="J238" s="489">
        <f t="shared" si="16"/>
        <v>9.5897391154363743E-2</v>
      </c>
      <c r="K238" s="489">
        <f t="shared" si="17"/>
        <v>0</v>
      </c>
      <c r="L238" s="152">
        <f t="shared" si="32"/>
        <v>7.6954732878904556E-4</v>
      </c>
      <c r="M238" s="489">
        <f t="shared" si="28"/>
        <v>6.7315865629057016E-4</v>
      </c>
      <c r="N238" s="489">
        <f t="shared" si="28"/>
        <v>0</v>
      </c>
      <c r="O238" s="489">
        <f t="shared" si="18"/>
        <v>2.6099662161425141</v>
      </c>
      <c r="P238" s="489">
        <f>H309</f>
        <v>0</v>
      </c>
      <c r="Q238" s="490">
        <f t="shared" si="20"/>
        <v>-1.5780891099610797</v>
      </c>
      <c r="R238" s="490">
        <f t="shared" si="20"/>
        <v>0</v>
      </c>
      <c r="S238" s="489">
        <f t="shared" si="21"/>
        <v>0.23144183353699538</v>
      </c>
      <c r="T238" s="489">
        <f t="shared" si="22"/>
        <v>0</v>
      </c>
      <c r="U238" s="489">
        <f t="shared" si="23"/>
        <v>0</v>
      </c>
      <c r="V238" s="491">
        <f t="shared" si="24"/>
        <v>7.6954732878904556E-4</v>
      </c>
      <c r="W238" s="491">
        <f t="shared" si="25"/>
        <v>0.23211499219328594</v>
      </c>
      <c r="X238" s="492">
        <f t="shared" si="26"/>
        <v>0</v>
      </c>
      <c r="Z238" s="111"/>
      <c r="AA238" s="111"/>
    </row>
    <row r="239" spans="1:30" x14ac:dyDescent="0.25">
      <c r="A239" s="77">
        <f t="shared" si="29"/>
        <v>12</v>
      </c>
      <c r="B239" s="340">
        <v>33</v>
      </c>
      <c r="C239" s="485">
        <v>2760.7739999999999</v>
      </c>
      <c r="D239" s="485">
        <f t="shared" si="27"/>
        <v>2760.7739999999999</v>
      </c>
      <c r="E239" s="486">
        <f t="shared" si="15"/>
        <v>1</v>
      </c>
      <c r="F239" s="373">
        <f t="shared" si="30"/>
        <v>0.73705507584388175</v>
      </c>
      <c r="G239" s="373">
        <f t="shared" si="30"/>
        <v>0</v>
      </c>
      <c r="H239" s="487">
        <f t="shared" si="31"/>
        <v>8.1391915691554989E-2</v>
      </c>
      <c r="I239" s="488">
        <f t="shared" ref="I239:J270" si="33">H239*E239</f>
        <v>8.1391915691554989E-2</v>
      </c>
      <c r="J239" s="489">
        <f t="shared" si="33"/>
        <v>5.9990324593117893E-2</v>
      </c>
      <c r="K239" s="489">
        <f t="shared" si="17"/>
        <v>0</v>
      </c>
      <c r="L239" s="152">
        <f t="shared" si="32"/>
        <v>5.169430487800777E-4</v>
      </c>
      <c r="M239" s="489">
        <f t="shared" si="28"/>
        <v>5.8954897657172839E-4</v>
      </c>
      <c r="N239" s="489">
        <f t="shared" si="28"/>
        <v>0</v>
      </c>
      <c r="O239" s="489">
        <f t="shared" si="18"/>
        <v>2.6099662161425141</v>
      </c>
      <c r="P239" s="489">
        <f t="shared" ref="P239:P301" si="34">H$309</f>
        <v>0</v>
      </c>
      <c r="Q239" s="490">
        <f t="shared" ref="Q239:R270" si="35">F239-O239</f>
        <v>-1.8729111402986325</v>
      </c>
      <c r="R239" s="490">
        <f t="shared" si="35"/>
        <v>0</v>
      </c>
      <c r="S239" s="489">
        <f t="shared" si="21"/>
        <v>0.28550624764566096</v>
      </c>
      <c r="T239" s="489">
        <f t="shared" si="22"/>
        <v>0</v>
      </c>
      <c r="U239" s="489">
        <f>H239*Q239*R239</f>
        <v>0</v>
      </c>
      <c r="V239" s="491">
        <f t="shared" si="24"/>
        <v>5.169430487800777E-4</v>
      </c>
      <c r="W239" s="491">
        <f t="shared" si="25"/>
        <v>0.28609579662223267</v>
      </c>
      <c r="X239" s="492">
        <f t="shared" si="26"/>
        <v>0</v>
      </c>
      <c r="Z239" s="111"/>
      <c r="AA239" s="111"/>
    </row>
    <row r="240" spans="1:30" x14ac:dyDescent="0.25">
      <c r="A240" s="77">
        <f>AQ17</f>
        <v>13</v>
      </c>
      <c r="B240" s="340">
        <v>34</v>
      </c>
      <c r="C240" s="485">
        <v>2760.7739999999999</v>
      </c>
      <c r="D240" s="485">
        <f t="shared" si="27"/>
        <v>2760.7739999999999</v>
      </c>
      <c r="E240" s="486">
        <f t="shared" si="15"/>
        <v>1</v>
      </c>
      <c r="F240" s="373">
        <f t="shared" si="30"/>
        <v>0.51593855309071723</v>
      </c>
      <c r="G240" s="373">
        <f t="shared" si="30"/>
        <v>0</v>
      </c>
      <c r="H240" s="487">
        <f t="shared" si="31"/>
        <v>3.6506412420389857E-2</v>
      </c>
      <c r="I240" s="488">
        <f t="shared" si="33"/>
        <v>3.6506412420389857E-2</v>
      </c>
      <c r="J240" s="489">
        <f t="shared" si="33"/>
        <v>1.8835065602708933E-2</v>
      </c>
      <c r="K240" s="489">
        <f t="shared" si="17"/>
        <v>0</v>
      </c>
      <c r="L240" s="152">
        <f t="shared" si="32"/>
        <v>1.8658054069306342E-4</v>
      </c>
      <c r="M240" s="489">
        <f t="shared" si="28"/>
        <v>6.6107050982519526E-5</v>
      </c>
      <c r="N240" s="489">
        <f t="shared" si="28"/>
        <v>0</v>
      </c>
      <c r="O240" s="489">
        <f t="shared" si="18"/>
        <v>2.6099662161425141</v>
      </c>
      <c r="P240" s="489">
        <f t="shared" si="34"/>
        <v>0</v>
      </c>
      <c r="Q240" s="490">
        <f t="shared" si="35"/>
        <v>-2.0940276630517971</v>
      </c>
      <c r="R240" s="490">
        <f t="shared" si="35"/>
        <v>0</v>
      </c>
      <c r="S240" s="489">
        <f t="shared" si="21"/>
        <v>0.16007886081202996</v>
      </c>
      <c r="T240" s="489">
        <f t="shared" si="22"/>
        <v>0</v>
      </c>
      <c r="U240" s="489">
        <f t="shared" ref="U240:U301" si="36">H240*Q240*R240</f>
        <v>0</v>
      </c>
      <c r="V240" s="491">
        <f t="shared" si="24"/>
        <v>1.8658054069306342E-4</v>
      </c>
      <c r="W240" s="491">
        <f t="shared" si="25"/>
        <v>0.16014496786301247</v>
      </c>
      <c r="X240" s="492">
        <f t="shared" si="26"/>
        <v>0</v>
      </c>
      <c r="Z240" s="111"/>
      <c r="AA240" s="111"/>
    </row>
    <row r="241" spans="1:27" x14ac:dyDescent="0.25">
      <c r="A241" s="77">
        <f t="shared" si="29"/>
        <v>14</v>
      </c>
      <c r="B241" s="340">
        <v>35</v>
      </c>
      <c r="C241" s="485">
        <v>2760.7739999999999</v>
      </c>
      <c r="D241" s="485">
        <f t="shared" si="27"/>
        <v>2760.7739999999999</v>
      </c>
      <c r="E241" s="486">
        <f t="shared" si="15"/>
        <v>1</v>
      </c>
      <c r="F241" s="373">
        <f t="shared" si="30"/>
        <v>0.36852753792194087</v>
      </c>
      <c r="G241" s="373">
        <f t="shared" si="30"/>
        <v>0</v>
      </c>
      <c r="H241" s="487">
        <f t="shared" si="31"/>
        <v>3.0891378510015638E-2</v>
      </c>
      <c r="I241" s="488">
        <f t="shared" si="33"/>
        <v>3.0891378510015638E-2</v>
      </c>
      <c r="J241" s="489">
        <f t="shared" si="33"/>
        <v>1.1384323665310817E-2</v>
      </c>
      <c r="K241" s="489">
        <f t="shared" si="17"/>
        <v>0</v>
      </c>
      <c r="L241" s="152">
        <f t="shared" si="32"/>
        <v>1.1305004680830479E-4</v>
      </c>
      <c r="M241" s="489">
        <f t="shared" si="28"/>
        <v>5.5939156950446469E-5</v>
      </c>
      <c r="N241" s="489">
        <f t="shared" si="28"/>
        <v>0</v>
      </c>
      <c r="O241" s="489">
        <f t="shared" si="18"/>
        <v>2.6099662161425141</v>
      </c>
      <c r="P241" s="489">
        <f t="shared" si="34"/>
        <v>0</v>
      </c>
      <c r="Q241" s="490">
        <f t="shared" si="35"/>
        <v>-2.2414386782205731</v>
      </c>
      <c r="R241" s="490">
        <f t="shared" si="35"/>
        <v>0</v>
      </c>
      <c r="S241" s="489">
        <f t="shared" si="21"/>
        <v>0.15519974828620289</v>
      </c>
      <c r="T241" s="489">
        <f t="shared" si="22"/>
        <v>0</v>
      </c>
      <c r="U241" s="489">
        <f t="shared" si="36"/>
        <v>0</v>
      </c>
      <c r="V241" s="491">
        <f t="shared" si="24"/>
        <v>1.1305004680830479E-4</v>
      </c>
      <c r="W241" s="491">
        <f t="shared" si="25"/>
        <v>0.15525568744315335</v>
      </c>
      <c r="X241" s="492">
        <f t="shared" si="26"/>
        <v>0</v>
      </c>
      <c r="Z241" s="111"/>
      <c r="AA241" s="111"/>
    </row>
    <row r="242" spans="1:27" x14ac:dyDescent="0.25">
      <c r="A242" s="77">
        <f t="shared" si="29"/>
        <v>15</v>
      </c>
      <c r="B242" s="340">
        <v>36</v>
      </c>
      <c r="C242" s="485">
        <v>2760.7739999999999</v>
      </c>
      <c r="D242" s="485">
        <f t="shared" si="27"/>
        <v>2760.7739999999999</v>
      </c>
      <c r="E242" s="486">
        <f t="shared" si="15"/>
        <v>1</v>
      </c>
      <c r="F242" s="373">
        <f t="shared" si="30"/>
        <v>0.22111652275316451</v>
      </c>
      <c r="G242" s="373">
        <f t="shared" si="30"/>
        <v>0</v>
      </c>
      <c r="H242" s="487">
        <f t="shared" si="31"/>
        <v>2.2720895730214075E-2</v>
      </c>
      <c r="I242" s="488">
        <f t="shared" si="33"/>
        <v>2.2720895730214075E-2</v>
      </c>
      <c r="J242" s="489">
        <f t="shared" si="33"/>
        <v>5.0239654577021592E-3</v>
      </c>
      <c r="K242" s="489">
        <f t="shared" si="17"/>
        <v>0</v>
      </c>
      <c r="L242" s="152">
        <f t="shared" si="32"/>
        <v>4.4981633822514738E-5</v>
      </c>
      <c r="M242" s="489">
        <f t="shared" si="28"/>
        <v>4.1143769349596727E-5</v>
      </c>
      <c r="N242" s="489">
        <f t="shared" si="28"/>
        <v>0</v>
      </c>
      <c r="O242" s="489">
        <f t="shared" si="18"/>
        <v>2.6099662161425141</v>
      </c>
      <c r="P242" s="489">
        <f t="shared" si="34"/>
        <v>0</v>
      </c>
      <c r="Q242" s="490">
        <f t="shared" si="35"/>
        <v>-2.3888496933893495</v>
      </c>
      <c r="R242" s="490">
        <f t="shared" si="35"/>
        <v>0</v>
      </c>
      <c r="S242" s="489">
        <f t="shared" si="21"/>
        <v>0.12965912850141645</v>
      </c>
      <c r="T242" s="489">
        <f t="shared" si="22"/>
        <v>0</v>
      </c>
      <c r="U242" s="489">
        <f t="shared" si="36"/>
        <v>0</v>
      </c>
      <c r="V242" s="491">
        <f t="shared" si="24"/>
        <v>4.4981633822514738E-5</v>
      </c>
      <c r="W242" s="491">
        <f t="shared" si="25"/>
        <v>0.12970027227076605</v>
      </c>
      <c r="X242" s="492">
        <f t="shared" si="26"/>
        <v>0</v>
      </c>
      <c r="Z242" s="111"/>
      <c r="AA242" s="111"/>
    </row>
    <row r="243" spans="1:27" x14ac:dyDescent="0.25">
      <c r="A243" s="77">
        <f>AQ20</f>
        <v>16</v>
      </c>
      <c r="B243" s="340">
        <v>37</v>
      </c>
      <c r="C243" s="485">
        <v>2760.7739999999999</v>
      </c>
      <c r="D243" s="485">
        <f t="shared" si="27"/>
        <v>2760.7739999999999</v>
      </c>
      <c r="E243" s="486">
        <f t="shared" si="15"/>
        <v>1</v>
      </c>
      <c r="F243" s="373">
        <f t="shared" si="30"/>
        <v>0.11055826137658226</v>
      </c>
      <c r="G243" s="373">
        <f t="shared" si="30"/>
        <v>0</v>
      </c>
      <c r="H243" s="487">
        <f t="shared" si="31"/>
        <v>8.2313268005021929E-3</v>
      </c>
      <c r="I243" s="488">
        <f t="shared" si="33"/>
        <v>8.2313268005021929E-3</v>
      </c>
      <c r="J243" s="489">
        <f t="shared" si="33"/>
        <v>9.1004117988598805E-4</v>
      </c>
      <c r="K243" s="489">
        <f t="shared" si="17"/>
        <v>0</v>
      </c>
      <c r="L243" s="152">
        <f t="shared" si="32"/>
        <v>8.5551652838856519E-6</v>
      </c>
      <c r="M243" s="489">
        <f t="shared" si="28"/>
        <v>3.7263915047884573E-6</v>
      </c>
      <c r="N243" s="489">
        <f t="shared" si="28"/>
        <v>0</v>
      </c>
      <c r="O243" s="489">
        <f t="shared" si="18"/>
        <v>2.6099662161425141</v>
      </c>
      <c r="P243" s="489">
        <f t="shared" si="34"/>
        <v>0</v>
      </c>
      <c r="Q243" s="490">
        <f t="shared" si="35"/>
        <v>-2.4994079547659318</v>
      </c>
      <c r="R243" s="490">
        <f t="shared" si="35"/>
        <v>0</v>
      </c>
      <c r="S243" s="489">
        <f t="shared" si="21"/>
        <v>5.1421428799351805E-2</v>
      </c>
      <c r="T243" s="489">
        <f t="shared" si="22"/>
        <v>0</v>
      </c>
      <c r="U243" s="489">
        <f t="shared" si="36"/>
        <v>0</v>
      </c>
      <c r="V243" s="491">
        <f t="shared" si="24"/>
        <v>8.5551652838856519E-6</v>
      </c>
      <c r="W243" s="491">
        <f t="shared" si="25"/>
        <v>5.1425155190856595E-2</v>
      </c>
      <c r="X243" s="492">
        <f t="shared" si="26"/>
        <v>0</v>
      </c>
      <c r="Z243" s="111"/>
      <c r="AA243" s="111"/>
    </row>
    <row r="244" spans="1:27" ht="15.75" thickBot="1" x14ac:dyDescent="0.3">
      <c r="A244" s="75">
        <f t="shared" si="29"/>
        <v>17</v>
      </c>
      <c r="B244" s="493">
        <v>38</v>
      </c>
      <c r="C244" s="494">
        <v>2760.7739999999999</v>
      </c>
      <c r="D244" s="494">
        <f t="shared" si="27"/>
        <v>2760.7739999999999</v>
      </c>
      <c r="E244" s="495">
        <f t="shared" si="15"/>
        <v>1</v>
      </c>
      <c r="F244" s="496">
        <f t="shared" si="30"/>
        <v>3.6852753792194083E-2</v>
      </c>
      <c r="G244" s="496">
        <f t="shared" si="30"/>
        <v>0</v>
      </c>
      <c r="H244" s="497">
        <f t="shared" si="31"/>
        <v>8.2313268005021929E-3</v>
      </c>
      <c r="I244" s="498">
        <f t="shared" si="33"/>
        <v>8.2313268005021929E-3</v>
      </c>
      <c r="J244" s="499">
        <f t="shared" si="33"/>
        <v>3.0334705996199596E-4</v>
      </c>
      <c r="K244" s="499">
        <f t="shared" si="17"/>
        <v>0</v>
      </c>
      <c r="L244" s="147">
        <f t="shared" si="32"/>
        <v>8.5551652838856519E-6</v>
      </c>
      <c r="M244" s="499">
        <f t="shared" si="32"/>
        <v>3.7263915047884573E-6</v>
      </c>
      <c r="N244" s="499">
        <f t="shared" si="32"/>
        <v>0</v>
      </c>
      <c r="O244" s="499">
        <f t="shared" si="18"/>
        <v>2.6099662161425141</v>
      </c>
      <c r="P244" s="499">
        <f t="shared" si="34"/>
        <v>0</v>
      </c>
      <c r="Q244" s="500">
        <f t="shared" si="35"/>
        <v>-2.57311346235032</v>
      </c>
      <c r="R244" s="500">
        <f t="shared" si="35"/>
        <v>0</v>
      </c>
      <c r="S244" s="499">
        <f t="shared" si="21"/>
        <v>5.4498897716304756E-2</v>
      </c>
      <c r="T244" s="499">
        <f t="shared" si="22"/>
        <v>0</v>
      </c>
      <c r="U244" s="499">
        <f t="shared" si="36"/>
        <v>0</v>
      </c>
      <c r="V244" s="501">
        <f t="shared" si="24"/>
        <v>8.5551652838856519E-6</v>
      </c>
      <c r="W244" s="501">
        <f t="shared" si="25"/>
        <v>5.4502624107809546E-2</v>
      </c>
      <c r="X244" s="502">
        <f t="shared" si="26"/>
        <v>0</v>
      </c>
      <c r="Z244" s="111"/>
      <c r="AA244" s="111"/>
    </row>
    <row r="245" spans="1:27" x14ac:dyDescent="0.25">
      <c r="B245" s="96">
        <v>39</v>
      </c>
      <c r="C245" s="119">
        <v>2760.7739999999999</v>
      </c>
      <c r="D245" s="119">
        <f t="shared" si="27"/>
        <v>2760.7739999999999</v>
      </c>
      <c r="E245" s="118">
        <f t="shared" si="15"/>
        <v>1</v>
      </c>
      <c r="F245" s="117">
        <v>0</v>
      </c>
      <c r="G245" s="117">
        <v>0</v>
      </c>
      <c r="H245" s="116">
        <v>0</v>
      </c>
      <c r="I245" s="115">
        <f t="shared" si="33"/>
        <v>0</v>
      </c>
      <c r="J245" s="113">
        <f t="shared" si="33"/>
        <v>0</v>
      </c>
      <c r="K245" s="113">
        <f t="shared" si="17"/>
        <v>0</v>
      </c>
      <c r="L245" s="111">
        <f>(ABS(D134-D133)*ABS(E134-N134)^3)/12</f>
        <v>0</v>
      </c>
      <c r="M245" s="113">
        <f>((ABS(D134-D133)^3)*ABS(E134-N134))/12</f>
        <v>0</v>
      </c>
      <c r="N245" s="113">
        <v>0</v>
      </c>
      <c r="O245" s="113">
        <f t="shared" si="18"/>
        <v>2.6099662161425141</v>
      </c>
      <c r="P245" s="113">
        <f t="shared" si="34"/>
        <v>0</v>
      </c>
      <c r="Q245" s="114">
        <f t="shared" si="35"/>
        <v>-2.6099662161425141</v>
      </c>
      <c r="R245" s="114">
        <f t="shared" si="35"/>
        <v>0</v>
      </c>
      <c r="S245" s="113">
        <f t="shared" si="21"/>
        <v>0</v>
      </c>
      <c r="T245" s="113">
        <f t="shared" si="22"/>
        <v>0</v>
      </c>
      <c r="U245" s="113">
        <f t="shared" si="36"/>
        <v>0</v>
      </c>
      <c r="V245" s="112">
        <f t="shared" si="24"/>
        <v>0</v>
      </c>
      <c r="W245" s="112">
        <f t="shared" si="25"/>
        <v>0</v>
      </c>
      <c r="X245" s="112">
        <f t="shared" si="26"/>
        <v>0</v>
      </c>
      <c r="Z245" s="111"/>
      <c r="AA245" s="111"/>
    </row>
    <row r="246" spans="1:27" x14ac:dyDescent="0.25">
      <c r="B246" s="96">
        <v>40</v>
      </c>
      <c r="C246" s="119">
        <v>2760.7739999999999</v>
      </c>
      <c r="D246" s="119">
        <f t="shared" si="27"/>
        <v>2760.7739999999999</v>
      </c>
      <c r="E246" s="118">
        <f t="shared" si="15"/>
        <v>1</v>
      </c>
      <c r="F246" s="117">
        <v>0</v>
      </c>
      <c r="G246" s="117">
        <v>0</v>
      </c>
      <c r="H246" s="116">
        <v>0</v>
      </c>
      <c r="I246" s="115">
        <f t="shared" si="33"/>
        <v>0</v>
      </c>
      <c r="J246" s="113">
        <f t="shared" si="33"/>
        <v>0</v>
      </c>
      <c r="K246" s="113">
        <f t="shared" si="17"/>
        <v>0</v>
      </c>
      <c r="L246" s="111">
        <v>0</v>
      </c>
      <c r="M246" s="113">
        <v>0</v>
      </c>
      <c r="N246" s="113">
        <v>0</v>
      </c>
      <c r="O246" s="113">
        <f t="shared" si="18"/>
        <v>2.6099662161425141</v>
      </c>
      <c r="P246" s="113">
        <f t="shared" si="34"/>
        <v>0</v>
      </c>
      <c r="Q246" s="114">
        <f t="shared" si="35"/>
        <v>-2.6099662161425141</v>
      </c>
      <c r="R246" s="114">
        <f t="shared" si="35"/>
        <v>0</v>
      </c>
      <c r="S246" s="113">
        <f t="shared" si="21"/>
        <v>0</v>
      </c>
      <c r="T246" s="113">
        <f t="shared" si="22"/>
        <v>0</v>
      </c>
      <c r="U246" s="113">
        <f t="shared" si="36"/>
        <v>0</v>
      </c>
      <c r="V246" s="112">
        <f t="shared" si="24"/>
        <v>0</v>
      </c>
      <c r="W246" s="112">
        <f t="shared" si="25"/>
        <v>0</v>
      </c>
      <c r="X246" s="112">
        <f t="shared" si="26"/>
        <v>0</v>
      </c>
      <c r="Z246" s="111"/>
      <c r="AA246" s="111"/>
    </row>
    <row r="247" spans="1:27" x14ac:dyDescent="0.25">
      <c r="B247" s="96">
        <v>41</v>
      </c>
      <c r="C247" s="119">
        <v>2760.7739999999999</v>
      </c>
      <c r="D247" s="119">
        <f t="shared" si="27"/>
        <v>2760.7739999999999</v>
      </c>
      <c r="E247" s="118">
        <f t="shared" si="15"/>
        <v>1</v>
      </c>
      <c r="F247" s="117">
        <v>0</v>
      </c>
      <c r="G247" s="117">
        <v>0</v>
      </c>
      <c r="H247" s="116">
        <v>0</v>
      </c>
      <c r="I247" s="115">
        <f t="shared" si="33"/>
        <v>0</v>
      </c>
      <c r="J247" s="113">
        <f t="shared" si="33"/>
        <v>0</v>
      </c>
      <c r="K247" s="113">
        <f t="shared" si="17"/>
        <v>0</v>
      </c>
      <c r="L247" s="111">
        <v>0</v>
      </c>
      <c r="M247" s="113">
        <v>0</v>
      </c>
      <c r="N247" s="113">
        <v>0</v>
      </c>
      <c r="O247" s="113">
        <f t="shared" si="18"/>
        <v>2.6099662161425141</v>
      </c>
      <c r="P247" s="113">
        <f t="shared" si="34"/>
        <v>0</v>
      </c>
      <c r="Q247" s="114">
        <f t="shared" si="35"/>
        <v>-2.6099662161425141</v>
      </c>
      <c r="R247" s="114">
        <f t="shared" si="35"/>
        <v>0</v>
      </c>
      <c r="S247" s="113">
        <f t="shared" si="21"/>
        <v>0</v>
      </c>
      <c r="T247" s="113">
        <f t="shared" si="22"/>
        <v>0</v>
      </c>
      <c r="U247" s="113">
        <f t="shared" si="36"/>
        <v>0</v>
      </c>
      <c r="V247" s="112">
        <f t="shared" si="24"/>
        <v>0</v>
      </c>
      <c r="W247" s="112">
        <f t="shared" si="25"/>
        <v>0</v>
      </c>
      <c r="X247" s="112">
        <f t="shared" si="26"/>
        <v>0</v>
      </c>
      <c r="Z247" s="111"/>
      <c r="AA247" s="111"/>
    </row>
    <row r="248" spans="1:27" x14ac:dyDescent="0.25">
      <c r="B248" s="96">
        <v>42</v>
      </c>
      <c r="C248" s="119">
        <v>2760.7739999999999</v>
      </c>
      <c r="D248" s="119">
        <f t="shared" si="27"/>
        <v>2760.7739999999999</v>
      </c>
      <c r="E248" s="118">
        <f t="shared" si="15"/>
        <v>1</v>
      </c>
      <c r="F248" s="117">
        <v>0</v>
      </c>
      <c r="G248" s="117">
        <v>0</v>
      </c>
      <c r="H248" s="116">
        <v>0</v>
      </c>
      <c r="I248" s="115">
        <f t="shared" si="33"/>
        <v>0</v>
      </c>
      <c r="J248" s="113">
        <f t="shared" si="33"/>
        <v>0</v>
      </c>
      <c r="K248" s="113">
        <f t="shared" si="17"/>
        <v>0</v>
      </c>
      <c r="L248" s="111">
        <v>0</v>
      </c>
      <c r="M248" s="113">
        <v>0</v>
      </c>
      <c r="N248" s="113">
        <v>0</v>
      </c>
      <c r="O248" s="113">
        <f t="shared" si="18"/>
        <v>2.6099662161425141</v>
      </c>
      <c r="P248" s="113">
        <f t="shared" si="34"/>
        <v>0</v>
      </c>
      <c r="Q248" s="114">
        <f t="shared" si="35"/>
        <v>-2.6099662161425141</v>
      </c>
      <c r="R248" s="114">
        <f t="shared" si="35"/>
        <v>0</v>
      </c>
      <c r="S248" s="113">
        <f t="shared" si="21"/>
        <v>0</v>
      </c>
      <c r="T248" s="113">
        <f t="shared" si="22"/>
        <v>0</v>
      </c>
      <c r="U248" s="113">
        <f t="shared" si="36"/>
        <v>0</v>
      </c>
      <c r="V248" s="112">
        <f t="shared" si="24"/>
        <v>0</v>
      </c>
      <c r="W248" s="112">
        <f t="shared" si="25"/>
        <v>0</v>
      </c>
      <c r="X248" s="112">
        <f t="shared" si="26"/>
        <v>0</v>
      </c>
      <c r="Z248" s="111"/>
      <c r="AA248" s="111"/>
    </row>
    <row r="249" spans="1:27" x14ac:dyDescent="0.25">
      <c r="B249" s="96">
        <v>43</v>
      </c>
      <c r="C249" s="119">
        <v>2760.7739999999999</v>
      </c>
      <c r="D249" s="119">
        <f t="shared" si="27"/>
        <v>2760.7739999999999</v>
      </c>
      <c r="E249" s="118">
        <f t="shared" si="15"/>
        <v>1</v>
      </c>
      <c r="F249" s="117">
        <v>0</v>
      </c>
      <c r="G249" s="117">
        <v>0</v>
      </c>
      <c r="H249" s="116">
        <v>0</v>
      </c>
      <c r="I249" s="115">
        <f t="shared" si="33"/>
        <v>0</v>
      </c>
      <c r="J249" s="113">
        <f t="shared" si="33"/>
        <v>0</v>
      </c>
      <c r="K249" s="113">
        <f t="shared" si="17"/>
        <v>0</v>
      </c>
      <c r="L249" s="111">
        <v>0</v>
      </c>
      <c r="M249" s="113">
        <v>0</v>
      </c>
      <c r="N249" s="113">
        <v>0</v>
      </c>
      <c r="O249" s="113">
        <f t="shared" si="18"/>
        <v>2.6099662161425141</v>
      </c>
      <c r="P249" s="113">
        <f t="shared" si="34"/>
        <v>0</v>
      </c>
      <c r="Q249" s="114">
        <f t="shared" si="35"/>
        <v>-2.6099662161425141</v>
      </c>
      <c r="R249" s="114">
        <f t="shared" si="35"/>
        <v>0</v>
      </c>
      <c r="S249" s="113">
        <f t="shared" si="21"/>
        <v>0</v>
      </c>
      <c r="T249" s="113">
        <f t="shared" si="22"/>
        <v>0</v>
      </c>
      <c r="U249" s="113">
        <f t="shared" si="36"/>
        <v>0</v>
      </c>
      <c r="V249" s="112">
        <f t="shared" si="24"/>
        <v>0</v>
      </c>
      <c r="W249" s="112">
        <f t="shared" si="25"/>
        <v>0</v>
      </c>
      <c r="X249" s="112">
        <f t="shared" si="26"/>
        <v>0</v>
      </c>
      <c r="Z249" s="111"/>
      <c r="AA249" s="111"/>
    </row>
    <row r="250" spans="1:27" x14ac:dyDescent="0.25">
      <c r="B250" s="96">
        <v>44</v>
      </c>
      <c r="C250" s="119">
        <v>2760.7739999999999</v>
      </c>
      <c r="D250" s="119">
        <f t="shared" si="27"/>
        <v>2760.7739999999999</v>
      </c>
      <c r="E250" s="118">
        <f t="shared" si="15"/>
        <v>1</v>
      </c>
      <c r="F250" s="117">
        <v>0</v>
      </c>
      <c r="G250" s="117">
        <v>0</v>
      </c>
      <c r="H250" s="116">
        <v>0</v>
      </c>
      <c r="I250" s="115">
        <f t="shared" si="33"/>
        <v>0</v>
      </c>
      <c r="J250" s="113">
        <f t="shared" si="33"/>
        <v>0</v>
      </c>
      <c r="K250" s="113">
        <f t="shared" si="17"/>
        <v>0</v>
      </c>
      <c r="L250" s="111">
        <v>0</v>
      </c>
      <c r="M250" s="113">
        <v>0</v>
      </c>
      <c r="N250" s="113">
        <v>0</v>
      </c>
      <c r="O250" s="113">
        <f t="shared" si="18"/>
        <v>2.6099662161425141</v>
      </c>
      <c r="P250" s="113">
        <f t="shared" si="34"/>
        <v>0</v>
      </c>
      <c r="Q250" s="114">
        <f t="shared" si="35"/>
        <v>-2.6099662161425141</v>
      </c>
      <c r="R250" s="114">
        <f t="shared" si="35"/>
        <v>0</v>
      </c>
      <c r="S250" s="113">
        <f t="shared" si="21"/>
        <v>0</v>
      </c>
      <c r="T250" s="113">
        <f t="shared" si="22"/>
        <v>0</v>
      </c>
      <c r="U250" s="113">
        <f t="shared" si="36"/>
        <v>0</v>
      </c>
      <c r="V250" s="112">
        <f t="shared" si="24"/>
        <v>0</v>
      </c>
      <c r="W250" s="112">
        <f t="shared" si="25"/>
        <v>0</v>
      </c>
      <c r="X250" s="112">
        <f t="shared" si="26"/>
        <v>0</v>
      </c>
      <c r="Z250" s="111"/>
      <c r="AA250" s="111"/>
    </row>
    <row r="251" spans="1:27" x14ac:dyDescent="0.25">
      <c r="B251" s="96">
        <v>45</v>
      </c>
      <c r="C251" s="119">
        <v>2760.7739999999999</v>
      </c>
      <c r="D251" s="119">
        <f t="shared" si="27"/>
        <v>2760.7739999999999</v>
      </c>
      <c r="E251" s="118">
        <f t="shared" si="15"/>
        <v>1</v>
      </c>
      <c r="F251" s="117">
        <v>0</v>
      </c>
      <c r="G251" s="117">
        <v>0</v>
      </c>
      <c r="H251" s="116">
        <v>0</v>
      </c>
      <c r="I251" s="115">
        <f t="shared" si="33"/>
        <v>0</v>
      </c>
      <c r="J251" s="113">
        <f t="shared" si="33"/>
        <v>0</v>
      </c>
      <c r="K251" s="113">
        <f t="shared" si="17"/>
        <v>0</v>
      </c>
      <c r="L251" s="111">
        <v>0</v>
      </c>
      <c r="M251" s="113">
        <v>0</v>
      </c>
      <c r="N251" s="113">
        <v>0</v>
      </c>
      <c r="O251" s="113">
        <f t="shared" si="18"/>
        <v>2.6099662161425141</v>
      </c>
      <c r="P251" s="113">
        <f t="shared" si="34"/>
        <v>0</v>
      </c>
      <c r="Q251" s="114">
        <f t="shared" si="35"/>
        <v>-2.6099662161425141</v>
      </c>
      <c r="R251" s="114">
        <f t="shared" si="35"/>
        <v>0</v>
      </c>
      <c r="S251" s="113">
        <f t="shared" si="21"/>
        <v>0</v>
      </c>
      <c r="T251" s="113">
        <f t="shared" si="22"/>
        <v>0</v>
      </c>
      <c r="U251" s="113">
        <f t="shared" si="36"/>
        <v>0</v>
      </c>
      <c r="V251" s="112">
        <f t="shared" si="24"/>
        <v>0</v>
      </c>
      <c r="W251" s="112">
        <f t="shared" si="25"/>
        <v>0</v>
      </c>
      <c r="X251" s="112">
        <f t="shared" si="26"/>
        <v>0</v>
      </c>
      <c r="Z251" s="111"/>
      <c r="AA251" s="111"/>
    </row>
    <row r="252" spans="1:27" x14ac:dyDescent="0.25">
      <c r="B252" s="96">
        <v>46</v>
      </c>
      <c r="C252" s="119">
        <v>2760.7739999999999</v>
      </c>
      <c r="D252" s="119">
        <f t="shared" si="27"/>
        <v>2760.7739999999999</v>
      </c>
      <c r="E252" s="118">
        <f t="shared" si="15"/>
        <v>1</v>
      </c>
      <c r="F252" s="117">
        <v>0</v>
      </c>
      <c r="G252" s="117">
        <v>0</v>
      </c>
      <c r="H252" s="116">
        <v>0</v>
      </c>
      <c r="I252" s="115">
        <f t="shared" si="33"/>
        <v>0</v>
      </c>
      <c r="J252" s="113">
        <f t="shared" si="33"/>
        <v>0</v>
      </c>
      <c r="K252" s="113">
        <f t="shared" si="17"/>
        <v>0</v>
      </c>
      <c r="L252" s="111">
        <v>0</v>
      </c>
      <c r="M252" s="113">
        <v>0</v>
      </c>
      <c r="N252" s="113">
        <v>0</v>
      </c>
      <c r="O252" s="113">
        <f t="shared" si="18"/>
        <v>2.6099662161425141</v>
      </c>
      <c r="P252" s="113">
        <f t="shared" si="34"/>
        <v>0</v>
      </c>
      <c r="Q252" s="114">
        <f t="shared" si="35"/>
        <v>-2.6099662161425141</v>
      </c>
      <c r="R252" s="114">
        <f t="shared" si="35"/>
        <v>0</v>
      </c>
      <c r="S252" s="113">
        <f t="shared" si="21"/>
        <v>0</v>
      </c>
      <c r="T252" s="113">
        <f t="shared" si="22"/>
        <v>0</v>
      </c>
      <c r="U252" s="113">
        <f t="shared" si="36"/>
        <v>0</v>
      </c>
      <c r="V252" s="112">
        <f t="shared" si="24"/>
        <v>0</v>
      </c>
      <c r="W252" s="112">
        <f t="shared" si="25"/>
        <v>0</v>
      </c>
      <c r="X252" s="112">
        <f t="shared" si="26"/>
        <v>0</v>
      </c>
      <c r="Z252" s="111"/>
      <c r="AA252" s="111"/>
    </row>
    <row r="253" spans="1:27" x14ac:dyDescent="0.25">
      <c r="B253" s="96">
        <v>47</v>
      </c>
      <c r="C253" s="119">
        <v>2760.7739999999999</v>
      </c>
      <c r="D253" s="119">
        <f t="shared" si="27"/>
        <v>2760.7739999999999</v>
      </c>
      <c r="E253" s="118">
        <f t="shared" si="15"/>
        <v>1</v>
      </c>
      <c r="F253" s="117">
        <v>0</v>
      </c>
      <c r="G253" s="117">
        <v>0</v>
      </c>
      <c r="H253" s="116">
        <v>0</v>
      </c>
      <c r="I253" s="115">
        <f t="shared" si="33"/>
        <v>0</v>
      </c>
      <c r="J253" s="113">
        <f t="shared" si="33"/>
        <v>0</v>
      </c>
      <c r="K253" s="113">
        <f t="shared" si="17"/>
        <v>0</v>
      </c>
      <c r="L253" s="111">
        <v>0</v>
      </c>
      <c r="M253" s="113">
        <v>0</v>
      </c>
      <c r="N253" s="113">
        <v>0</v>
      </c>
      <c r="O253" s="113">
        <f t="shared" si="18"/>
        <v>2.6099662161425141</v>
      </c>
      <c r="P253" s="113">
        <f t="shared" si="34"/>
        <v>0</v>
      </c>
      <c r="Q253" s="114">
        <f t="shared" si="35"/>
        <v>-2.6099662161425141</v>
      </c>
      <c r="R253" s="114">
        <f t="shared" si="35"/>
        <v>0</v>
      </c>
      <c r="S253" s="113">
        <f t="shared" si="21"/>
        <v>0</v>
      </c>
      <c r="T253" s="113">
        <f t="shared" si="22"/>
        <v>0</v>
      </c>
      <c r="U253" s="113">
        <f t="shared" si="36"/>
        <v>0</v>
      </c>
      <c r="V253" s="112">
        <f t="shared" si="24"/>
        <v>0</v>
      </c>
      <c r="W253" s="112">
        <f t="shared" si="25"/>
        <v>0</v>
      </c>
      <c r="X253" s="112">
        <f t="shared" si="26"/>
        <v>0</v>
      </c>
      <c r="Z253" s="111"/>
      <c r="AA253" s="111"/>
    </row>
    <row r="254" spans="1:27" x14ac:dyDescent="0.25">
      <c r="B254" s="96">
        <v>48</v>
      </c>
      <c r="C254" s="119">
        <v>2760.7739999999999</v>
      </c>
      <c r="D254" s="119">
        <f t="shared" si="27"/>
        <v>2760.7739999999999</v>
      </c>
      <c r="E254" s="118">
        <f t="shared" si="15"/>
        <v>1</v>
      </c>
      <c r="F254" s="117">
        <v>0</v>
      </c>
      <c r="G254" s="117">
        <v>0</v>
      </c>
      <c r="H254" s="116">
        <v>0</v>
      </c>
      <c r="I254" s="115">
        <f t="shared" si="33"/>
        <v>0</v>
      </c>
      <c r="J254" s="113">
        <f t="shared" si="33"/>
        <v>0</v>
      </c>
      <c r="K254" s="113">
        <f t="shared" si="17"/>
        <v>0</v>
      </c>
      <c r="L254" s="111">
        <v>0</v>
      </c>
      <c r="M254" s="113">
        <v>0</v>
      </c>
      <c r="N254" s="113">
        <v>0</v>
      </c>
      <c r="O254" s="113">
        <f t="shared" si="18"/>
        <v>2.6099662161425141</v>
      </c>
      <c r="P254" s="113">
        <f t="shared" si="34"/>
        <v>0</v>
      </c>
      <c r="Q254" s="114">
        <f t="shared" si="35"/>
        <v>-2.6099662161425141</v>
      </c>
      <c r="R254" s="114">
        <f t="shared" si="35"/>
        <v>0</v>
      </c>
      <c r="S254" s="113">
        <f t="shared" si="21"/>
        <v>0</v>
      </c>
      <c r="T254" s="113">
        <f t="shared" si="22"/>
        <v>0</v>
      </c>
      <c r="U254" s="113">
        <f t="shared" si="36"/>
        <v>0</v>
      </c>
      <c r="V254" s="112">
        <f t="shared" si="24"/>
        <v>0</v>
      </c>
      <c r="W254" s="112">
        <f t="shared" si="25"/>
        <v>0</v>
      </c>
      <c r="X254" s="112">
        <f t="shared" si="26"/>
        <v>0</v>
      </c>
      <c r="Z254" s="111"/>
      <c r="AA254" s="111"/>
    </row>
    <row r="255" spans="1:27" x14ac:dyDescent="0.25">
      <c r="B255" s="96">
        <v>49</v>
      </c>
      <c r="C255" s="119">
        <v>2760.7739999999999</v>
      </c>
      <c r="D255" s="119">
        <f t="shared" si="27"/>
        <v>2760.7739999999999</v>
      </c>
      <c r="E255" s="118">
        <f t="shared" si="15"/>
        <v>1</v>
      </c>
      <c r="F255" s="117">
        <v>0</v>
      </c>
      <c r="G255" s="117">
        <v>0</v>
      </c>
      <c r="H255" s="116">
        <v>0</v>
      </c>
      <c r="I255" s="115">
        <f t="shared" si="33"/>
        <v>0</v>
      </c>
      <c r="J255" s="113">
        <f t="shared" si="33"/>
        <v>0</v>
      </c>
      <c r="K255" s="113">
        <f t="shared" si="17"/>
        <v>0</v>
      </c>
      <c r="L255" s="111">
        <v>0</v>
      </c>
      <c r="M255" s="113">
        <v>0</v>
      </c>
      <c r="N255" s="113">
        <v>0</v>
      </c>
      <c r="O255" s="113">
        <f t="shared" si="18"/>
        <v>2.6099662161425141</v>
      </c>
      <c r="P255" s="113">
        <f t="shared" si="34"/>
        <v>0</v>
      </c>
      <c r="Q255" s="114">
        <f t="shared" si="35"/>
        <v>-2.6099662161425141</v>
      </c>
      <c r="R255" s="114">
        <f t="shared" si="35"/>
        <v>0</v>
      </c>
      <c r="S255" s="113">
        <f t="shared" si="21"/>
        <v>0</v>
      </c>
      <c r="T255" s="113">
        <f t="shared" si="22"/>
        <v>0</v>
      </c>
      <c r="U255" s="113">
        <f t="shared" si="36"/>
        <v>0</v>
      </c>
      <c r="V255" s="112">
        <f t="shared" si="24"/>
        <v>0</v>
      </c>
      <c r="W255" s="112">
        <f t="shared" si="25"/>
        <v>0</v>
      </c>
      <c r="X255" s="112">
        <f t="shared" si="26"/>
        <v>0</v>
      </c>
      <c r="Z255" s="111"/>
      <c r="AA255" s="111"/>
    </row>
    <row r="256" spans="1:27" x14ac:dyDescent="0.25">
      <c r="B256" s="96">
        <v>50</v>
      </c>
      <c r="C256" s="119">
        <v>2760.7739999999999</v>
      </c>
      <c r="D256" s="119">
        <f t="shared" si="27"/>
        <v>2760.7739999999999</v>
      </c>
      <c r="E256" s="118">
        <f t="shared" si="15"/>
        <v>1</v>
      </c>
      <c r="F256" s="117">
        <v>0</v>
      </c>
      <c r="G256" s="117">
        <v>0</v>
      </c>
      <c r="H256" s="116">
        <v>0</v>
      </c>
      <c r="I256" s="115">
        <f t="shared" si="33"/>
        <v>0</v>
      </c>
      <c r="J256" s="113">
        <f t="shared" si="33"/>
        <v>0</v>
      </c>
      <c r="K256" s="113">
        <f t="shared" si="17"/>
        <v>0</v>
      </c>
      <c r="L256" s="111">
        <v>0</v>
      </c>
      <c r="M256" s="113">
        <v>0</v>
      </c>
      <c r="N256" s="113">
        <v>0</v>
      </c>
      <c r="O256" s="113">
        <f t="shared" si="18"/>
        <v>2.6099662161425141</v>
      </c>
      <c r="P256" s="113">
        <f t="shared" si="34"/>
        <v>0</v>
      </c>
      <c r="Q256" s="114">
        <f t="shared" si="35"/>
        <v>-2.6099662161425141</v>
      </c>
      <c r="R256" s="114">
        <f t="shared" si="35"/>
        <v>0</v>
      </c>
      <c r="S256" s="113">
        <f t="shared" si="21"/>
        <v>0</v>
      </c>
      <c r="T256" s="113">
        <f t="shared" si="22"/>
        <v>0</v>
      </c>
      <c r="U256" s="113">
        <f t="shared" si="36"/>
        <v>0</v>
      </c>
      <c r="V256" s="112">
        <f t="shared" si="24"/>
        <v>0</v>
      </c>
      <c r="W256" s="112">
        <f t="shared" si="25"/>
        <v>0</v>
      </c>
      <c r="X256" s="112">
        <f t="shared" si="26"/>
        <v>0</v>
      </c>
      <c r="Z256" s="111"/>
      <c r="AA256" s="111"/>
    </row>
    <row r="257" spans="1:27" x14ac:dyDescent="0.25">
      <c r="B257" s="96">
        <v>51</v>
      </c>
      <c r="C257" s="119">
        <v>2760.7739999999999</v>
      </c>
      <c r="D257" s="119">
        <f t="shared" si="27"/>
        <v>2760.7739999999999</v>
      </c>
      <c r="E257" s="118">
        <f t="shared" si="15"/>
        <v>1</v>
      </c>
      <c r="F257" s="117">
        <v>0</v>
      </c>
      <c r="G257" s="117">
        <v>0</v>
      </c>
      <c r="H257" s="116">
        <v>0</v>
      </c>
      <c r="I257" s="115">
        <f t="shared" si="33"/>
        <v>0</v>
      </c>
      <c r="J257" s="113">
        <f t="shared" si="33"/>
        <v>0</v>
      </c>
      <c r="K257" s="113">
        <f t="shared" si="17"/>
        <v>0</v>
      </c>
      <c r="L257" s="111">
        <v>0</v>
      </c>
      <c r="M257" s="113">
        <v>0</v>
      </c>
      <c r="N257" s="113">
        <v>0</v>
      </c>
      <c r="O257" s="113">
        <f t="shared" si="18"/>
        <v>2.6099662161425141</v>
      </c>
      <c r="P257" s="113">
        <f t="shared" si="34"/>
        <v>0</v>
      </c>
      <c r="Q257" s="114">
        <f t="shared" si="35"/>
        <v>-2.6099662161425141</v>
      </c>
      <c r="R257" s="114">
        <f t="shared" si="35"/>
        <v>0</v>
      </c>
      <c r="S257" s="113">
        <f t="shared" si="21"/>
        <v>0</v>
      </c>
      <c r="T257" s="113">
        <f t="shared" si="22"/>
        <v>0</v>
      </c>
      <c r="U257" s="113">
        <f t="shared" si="36"/>
        <v>0</v>
      </c>
      <c r="V257" s="112">
        <f t="shared" si="24"/>
        <v>0</v>
      </c>
      <c r="W257" s="112">
        <f t="shared" si="25"/>
        <v>0</v>
      </c>
      <c r="X257" s="112">
        <f t="shared" si="26"/>
        <v>0</v>
      </c>
      <c r="Z257" s="111"/>
      <c r="AA257" s="111"/>
    </row>
    <row r="258" spans="1:27" x14ac:dyDescent="0.25">
      <c r="B258" s="96">
        <v>52</v>
      </c>
      <c r="C258" s="119">
        <v>2760.7739999999999</v>
      </c>
      <c r="D258" s="119">
        <f t="shared" si="27"/>
        <v>2760.7739999999999</v>
      </c>
      <c r="E258" s="118">
        <f t="shared" si="15"/>
        <v>1</v>
      </c>
      <c r="F258" s="117">
        <v>0</v>
      </c>
      <c r="G258" s="117">
        <v>0</v>
      </c>
      <c r="H258" s="116">
        <v>0</v>
      </c>
      <c r="I258" s="115">
        <f t="shared" si="33"/>
        <v>0</v>
      </c>
      <c r="J258" s="113">
        <f t="shared" si="33"/>
        <v>0</v>
      </c>
      <c r="K258" s="113">
        <f t="shared" si="17"/>
        <v>0</v>
      </c>
      <c r="L258" s="111">
        <v>0</v>
      </c>
      <c r="M258" s="113">
        <v>0</v>
      </c>
      <c r="N258" s="113">
        <v>0</v>
      </c>
      <c r="O258" s="113">
        <f t="shared" si="18"/>
        <v>2.6099662161425141</v>
      </c>
      <c r="P258" s="113">
        <f t="shared" si="34"/>
        <v>0</v>
      </c>
      <c r="Q258" s="114">
        <f t="shared" si="35"/>
        <v>-2.6099662161425141</v>
      </c>
      <c r="R258" s="114">
        <f t="shared" si="35"/>
        <v>0</v>
      </c>
      <c r="S258" s="113">
        <f t="shared" si="21"/>
        <v>0</v>
      </c>
      <c r="T258" s="113">
        <f t="shared" si="22"/>
        <v>0</v>
      </c>
      <c r="U258" s="113">
        <f t="shared" si="36"/>
        <v>0</v>
      </c>
      <c r="V258" s="112">
        <f t="shared" si="24"/>
        <v>0</v>
      </c>
      <c r="W258" s="112">
        <f t="shared" si="25"/>
        <v>0</v>
      </c>
      <c r="X258" s="112">
        <f t="shared" si="26"/>
        <v>0</v>
      </c>
      <c r="Z258" s="111"/>
      <c r="AA258" s="111"/>
    </row>
    <row r="259" spans="1:27" x14ac:dyDescent="0.25">
      <c r="B259" s="96">
        <v>53</v>
      </c>
      <c r="C259" s="119">
        <v>2760.7739999999999</v>
      </c>
      <c r="D259" s="119">
        <f t="shared" si="27"/>
        <v>2760.7739999999999</v>
      </c>
      <c r="E259" s="118">
        <f t="shared" si="15"/>
        <v>1</v>
      </c>
      <c r="F259" s="117">
        <v>0</v>
      </c>
      <c r="G259" s="117">
        <v>0</v>
      </c>
      <c r="H259" s="116">
        <v>0</v>
      </c>
      <c r="I259" s="115">
        <f t="shared" si="33"/>
        <v>0</v>
      </c>
      <c r="J259" s="113">
        <f t="shared" si="33"/>
        <v>0</v>
      </c>
      <c r="K259" s="113">
        <f t="shared" si="17"/>
        <v>0</v>
      </c>
      <c r="L259" s="234">
        <v>0</v>
      </c>
      <c r="M259" s="113">
        <v>0</v>
      </c>
      <c r="N259" s="113">
        <v>0</v>
      </c>
      <c r="O259" s="113">
        <f t="shared" si="18"/>
        <v>2.6099662161425141</v>
      </c>
      <c r="P259" s="113">
        <f t="shared" si="34"/>
        <v>0</v>
      </c>
      <c r="Q259" s="114">
        <f t="shared" si="35"/>
        <v>-2.6099662161425141</v>
      </c>
      <c r="R259" s="114">
        <f t="shared" si="35"/>
        <v>0</v>
      </c>
      <c r="S259" s="113">
        <f t="shared" si="21"/>
        <v>0</v>
      </c>
      <c r="T259" s="113">
        <f t="shared" si="22"/>
        <v>0</v>
      </c>
      <c r="U259" s="113">
        <f t="shared" si="36"/>
        <v>0</v>
      </c>
      <c r="V259" s="112">
        <f t="shared" si="24"/>
        <v>0</v>
      </c>
      <c r="W259" s="112">
        <f t="shared" si="25"/>
        <v>0</v>
      </c>
      <c r="X259" s="112">
        <f t="shared" si="26"/>
        <v>0</v>
      </c>
      <c r="Z259" s="111"/>
      <c r="AA259" s="111"/>
    </row>
    <row r="260" spans="1:27" x14ac:dyDescent="0.25">
      <c r="B260" s="96">
        <v>54</v>
      </c>
      <c r="C260" s="119">
        <v>2760.7739999999999</v>
      </c>
      <c r="D260" s="119">
        <f t="shared" si="27"/>
        <v>2760.7739999999999</v>
      </c>
      <c r="E260" s="118">
        <f t="shared" si="15"/>
        <v>1</v>
      </c>
      <c r="F260" s="117">
        <v>0</v>
      </c>
      <c r="G260" s="117">
        <v>0</v>
      </c>
      <c r="H260" s="116">
        <v>0</v>
      </c>
      <c r="I260" s="115">
        <f t="shared" si="33"/>
        <v>0</v>
      </c>
      <c r="J260" s="113">
        <f t="shared" si="33"/>
        <v>0</v>
      </c>
      <c r="K260" s="113">
        <f t="shared" si="17"/>
        <v>0</v>
      </c>
      <c r="L260" s="111">
        <v>0</v>
      </c>
      <c r="M260" s="113">
        <v>0</v>
      </c>
      <c r="N260" s="113">
        <v>0</v>
      </c>
      <c r="O260" s="113">
        <f t="shared" si="18"/>
        <v>2.6099662161425141</v>
      </c>
      <c r="P260" s="113">
        <f t="shared" si="34"/>
        <v>0</v>
      </c>
      <c r="Q260" s="114">
        <f t="shared" si="35"/>
        <v>-2.6099662161425141</v>
      </c>
      <c r="R260" s="114">
        <f t="shared" si="35"/>
        <v>0</v>
      </c>
      <c r="S260" s="113">
        <f t="shared" si="21"/>
        <v>0</v>
      </c>
      <c r="T260" s="113">
        <f t="shared" si="22"/>
        <v>0</v>
      </c>
      <c r="U260" s="113">
        <f t="shared" si="36"/>
        <v>0</v>
      </c>
      <c r="V260" s="112">
        <f t="shared" si="24"/>
        <v>0</v>
      </c>
      <c r="W260" s="112">
        <f t="shared" si="25"/>
        <v>0</v>
      </c>
      <c r="X260" s="112">
        <f t="shared" si="26"/>
        <v>0</v>
      </c>
      <c r="Z260" s="111"/>
      <c r="AA260" s="111"/>
    </row>
    <row r="261" spans="1:27" x14ac:dyDescent="0.25">
      <c r="B261" s="96">
        <v>55</v>
      </c>
      <c r="C261" s="119">
        <v>2760.7739999999999</v>
      </c>
      <c r="D261" s="119">
        <f t="shared" si="27"/>
        <v>2760.7739999999999</v>
      </c>
      <c r="E261" s="118">
        <f t="shared" si="15"/>
        <v>1</v>
      </c>
      <c r="F261" s="117">
        <v>0</v>
      </c>
      <c r="G261" s="117">
        <v>0</v>
      </c>
      <c r="H261" s="116">
        <v>0</v>
      </c>
      <c r="I261" s="115">
        <f t="shared" si="33"/>
        <v>0</v>
      </c>
      <c r="J261" s="113">
        <f t="shared" si="33"/>
        <v>0</v>
      </c>
      <c r="K261" s="113">
        <f t="shared" si="17"/>
        <v>0</v>
      </c>
      <c r="L261" s="111">
        <v>0</v>
      </c>
      <c r="M261" s="113">
        <v>0</v>
      </c>
      <c r="N261" s="113">
        <v>0</v>
      </c>
      <c r="O261" s="113">
        <f t="shared" si="18"/>
        <v>2.6099662161425141</v>
      </c>
      <c r="P261" s="113">
        <f t="shared" si="34"/>
        <v>0</v>
      </c>
      <c r="Q261" s="114">
        <f t="shared" si="35"/>
        <v>-2.6099662161425141</v>
      </c>
      <c r="R261" s="114">
        <f t="shared" si="35"/>
        <v>0</v>
      </c>
      <c r="S261" s="113">
        <f t="shared" si="21"/>
        <v>0</v>
      </c>
      <c r="T261" s="113">
        <f t="shared" si="22"/>
        <v>0</v>
      </c>
      <c r="U261" s="113">
        <f t="shared" si="36"/>
        <v>0</v>
      </c>
      <c r="V261" s="112">
        <f t="shared" si="24"/>
        <v>0</v>
      </c>
      <c r="W261" s="112">
        <f t="shared" si="25"/>
        <v>0</v>
      </c>
      <c r="X261" s="112">
        <f t="shared" si="26"/>
        <v>0</v>
      </c>
      <c r="Z261" s="111"/>
      <c r="AA261" s="111"/>
    </row>
    <row r="262" spans="1:27" x14ac:dyDescent="0.25">
      <c r="A262" s="530" t="s">
        <v>2062</v>
      </c>
      <c r="B262" s="96">
        <v>56</v>
      </c>
      <c r="C262" s="110">
        <v>0</v>
      </c>
      <c r="D262" s="110">
        <f t="shared" si="27"/>
        <v>2760.7739999999999</v>
      </c>
      <c r="E262" s="109">
        <f t="shared" si="15"/>
        <v>0</v>
      </c>
      <c r="F262" s="108">
        <v>0</v>
      </c>
      <c r="G262" s="108">
        <v>0</v>
      </c>
      <c r="H262" s="107">
        <v>0</v>
      </c>
      <c r="I262" s="106">
        <f t="shared" si="33"/>
        <v>0</v>
      </c>
      <c r="J262" s="104">
        <f t="shared" si="33"/>
        <v>0</v>
      </c>
      <c r="K262" s="104">
        <f t="shared" si="17"/>
        <v>0</v>
      </c>
      <c r="L262" s="102">
        <v>0</v>
      </c>
      <c r="M262" s="104">
        <v>0</v>
      </c>
      <c r="N262" s="104">
        <v>0</v>
      </c>
      <c r="O262" s="104">
        <f t="shared" si="18"/>
        <v>2.6099662161425141</v>
      </c>
      <c r="P262" s="104">
        <f t="shared" si="34"/>
        <v>0</v>
      </c>
      <c r="Q262" s="105">
        <f t="shared" si="35"/>
        <v>-2.6099662161425141</v>
      </c>
      <c r="R262" s="105">
        <f t="shared" si="35"/>
        <v>0</v>
      </c>
      <c r="S262" s="104">
        <f t="shared" si="21"/>
        <v>0</v>
      </c>
      <c r="T262" s="104">
        <f t="shared" si="22"/>
        <v>0</v>
      </c>
      <c r="U262" s="104">
        <f t="shared" si="36"/>
        <v>0</v>
      </c>
      <c r="V262" s="103">
        <f t="shared" si="24"/>
        <v>0</v>
      </c>
      <c r="W262" s="103">
        <f t="shared" si="25"/>
        <v>0</v>
      </c>
      <c r="X262" s="103">
        <f t="shared" si="26"/>
        <v>0</v>
      </c>
      <c r="Z262" s="102"/>
      <c r="AA262" s="102"/>
    </row>
    <row r="263" spans="1:27" x14ac:dyDescent="0.25">
      <c r="A263" s="530"/>
      <c r="B263" s="96">
        <v>57</v>
      </c>
      <c r="C263" s="110">
        <v>0</v>
      </c>
      <c r="D263" s="110">
        <f t="shared" si="27"/>
        <v>2760.7739999999999</v>
      </c>
      <c r="E263" s="109">
        <f t="shared" si="15"/>
        <v>0</v>
      </c>
      <c r="F263" s="108">
        <v>0</v>
      </c>
      <c r="G263" s="108">
        <v>0</v>
      </c>
      <c r="H263" s="107">
        <v>0</v>
      </c>
      <c r="I263" s="106">
        <f t="shared" si="33"/>
        <v>0</v>
      </c>
      <c r="J263" s="104">
        <f t="shared" si="33"/>
        <v>0</v>
      </c>
      <c r="K263" s="104">
        <f t="shared" si="17"/>
        <v>0</v>
      </c>
      <c r="L263" s="102">
        <v>0</v>
      </c>
      <c r="M263" s="104">
        <v>0</v>
      </c>
      <c r="N263" s="104">
        <v>0</v>
      </c>
      <c r="O263" s="104">
        <f t="shared" si="18"/>
        <v>2.6099662161425141</v>
      </c>
      <c r="P263" s="104">
        <f t="shared" si="34"/>
        <v>0</v>
      </c>
      <c r="Q263" s="105">
        <f t="shared" si="35"/>
        <v>-2.6099662161425141</v>
      </c>
      <c r="R263" s="105">
        <f t="shared" si="35"/>
        <v>0</v>
      </c>
      <c r="S263" s="104">
        <f t="shared" si="21"/>
        <v>0</v>
      </c>
      <c r="T263" s="104">
        <f t="shared" si="22"/>
        <v>0</v>
      </c>
      <c r="U263" s="104">
        <f t="shared" si="36"/>
        <v>0</v>
      </c>
      <c r="V263" s="103">
        <f t="shared" si="24"/>
        <v>0</v>
      </c>
      <c r="W263" s="103">
        <f t="shared" si="25"/>
        <v>0</v>
      </c>
      <c r="X263" s="103">
        <f t="shared" si="26"/>
        <v>0</v>
      </c>
      <c r="Z263" s="102"/>
      <c r="AA263" s="102"/>
    </row>
    <row r="264" spans="1:27" x14ac:dyDescent="0.25">
      <c r="A264" s="530"/>
      <c r="B264" s="96">
        <v>58</v>
      </c>
      <c r="C264" s="110">
        <v>0</v>
      </c>
      <c r="D264" s="110">
        <f t="shared" si="27"/>
        <v>2760.7739999999999</v>
      </c>
      <c r="E264" s="109">
        <f t="shared" si="15"/>
        <v>0</v>
      </c>
      <c r="F264" s="108">
        <v>0</v>
      </c>
      <c r="G264" s="108">
        <v>0</v>
      </c>
      <c r="H264" s="107">
        <v>0</v>
      </c>
      <c r="I264" s="106">
        <f t="shared" si="33"/>
        <v>0</v>
      </c>
      <c r="J264" s="104">
        <f t="shared" si="33"/>
        <v>0</v>
      </c>
      <c r="K264" s="104">
        <f t="shared" si="17"/>
        <v>0</v>
      </c>
      <c r="L264" s="102">
        <v>0</v>
      </c>
      <c r="M264" s="104">
        <v>0</v>
      </c>
      <c r="N264" s="104">
        <v>0</v>
      </c>
      <c r="O264" s="104">
        <f t="shared" si="18"/>
        <v>2.6099662161425141</v>
      </c>
      <c r="P264" s="104">
        <f t="shared" si="34"/>
        <v>0</v>
      </c>
      <c r="Q264" s="105">
        <f t="shared" si="35"/>
        <v>-2.6099662161425141</v>
      </c>
      <c r="R264" s="105">
        <f t="shared" si="35"/>
        <v>0</v>
      </c>
      <c r="S264" s="104">
        <f t="shared" si="21"/>
        <v>0</v>
      </c>
      <c r="T264" s="104">
        <f t="shared" si="22"/>
        <v>0</v>
      </c>
      <c r="U264" s="104">
        <f t="shared" si="36"/>
        <v>0</v>
      </c>
      <c r="V264" s="103">
        <f t="shared" si="24"/>
        <v>0</v>
      </c>
      <c r="W264" s="103">
        <f t="shared" si="25"/>
        <v>0</v>
      </c>
      <c r="X264" s="103">
        <f t="shared" si="26"/>
        <v>0</v>
      </c>
      <c r="Z264" s="102"/>
      <c r="AA264" s="102"/>
    </row>
    <row r="265" spans="1:27" x14ac:dyDescent="0.25">
      <c r="A265" s="530"/>
      <c r="B265" s="96">
        <v>59</v>
      </c>
      <c r="C265" s="110">
        <v>0</v>
      </c>
      <c r="D265" s="110">
        <f t="shared" si="27"/>
        <v>2760.7739999999999</v>
      </c>
      <c r="E265" s="109">
        <f t="shared" si="15"/>
        <v>0</v>
      </c>
      <c r="F265" s="108">
        <v>0</v>
      </c>
      <c r="G265" s="108">
        <v>0</v>
      </c>
      <c r="H265" s="107">
        <v>0</v>
      </c>
      <c r="I265" s="106">
        <f t="shared" si="33"/>
        <v>0</v>
      </c>
      <c r="J265" s="104">
        <f t="shared" si="33"/>
        <v>0</v>
      </c>
      <c r="K265" s="104">
        <f t="shared" si="17"/>
        <v>0</v>
      </c>
      <c r="L265" s="102">
        <v>0</v>
      </c>
      <c r="M265" s="104">
        <v>0</v>
      </c>
      <c r="N265" s="104">
        <v>0</v>
      </c>
      <c r="O265" s="104">
        <f t="shared" si="18"/>
        <v>2.6099662161425141</v>
      </c>
      <c r="P265" s="104">
        <f t="shared" si="34"/>
        <v>0</v>
      </c>
      <c r="Q265" s="105">
        <f t="shared" si="35"/>
        <v>-2.6099662161425141</v>
      </c>
      <c r="R265" s="105">
        <f t="shared" si="35"/>
        <v>0</v>
      </c>
      <c r="S265" s="104">
        <f t="shared" si="21"/>
        <v>0</v>
      </c>
      <c r="T265" s="104">
        <f t="shared" si="22"/>
        <v>0</v>
      </c>
      <c r="U265" s="104">
        <f t="shared" si="36"/>
        <v>0</v>
      </c>
      <c r="V265" s="103">
        <f t="shared" si="24"/>
        <v>0</v>
      </c>
      <c r="W265" s="103">
        <f t="shared" si="25"/>
        <v>0</v>
      </c>
      <c r="X265" s="103">
        <f t="shared" si="26"/>
        <v>0</v>
      </c>
      <c r="Z265" s="102"/>
      <c r="AA265" s="102"/>
    </row>
    <row r="266" spans="1:27" x14ac:dyDescent="0.25">
      <c r="A266" s="530"/>
      <c r="B266" s="96">
        <v>60</v>
      </c>
      <c r="C266" s="110">
        <v>0</v>
      </c>
      <c r="D266" s="110">
        <f t="shared" si="27"/>
        <v>2760.7739999999999</v>
      </c>
      <c r="E266" s="109">
        <f t="shared" si="15"/>
        <v>0</v>
      </c>
      <c r="F266" s="108">
        <v>0</v>
      </c>
      <c r="G266" s="108">
        <v>0</v>
      </c>
      <c r="H266" s="107">
        <v>0</v>
      </c>
      <c r="I266" s="106">
        <f t="shared" si="33"/>
        <v>0</v>
      </c>
      <c r="J266" s="104">
        <f t="shared" si="33"/>
        <v>0</v>
      </c>
      <c r="K266" s="104">
        <f t="shared" si="17"/>
        <v>0</v>
      </c>
      <c r="L266" s="102">
        <v>0</v>
      </c>
      <c r="M266" s="104">
        <v>0</v>
      </c>
      <c r="N266" s="104">
        <v>0</v>
      </c>
      <c r="O266" s="104">
        <f t="shared" si="18"/>
        <v>2.6099662161425141</v>
      </c>
      <c r="P266" s="104">
        <f t="shared" si="34"/>
        <v>0</v>
      </c>
      <c r="Q266" s="105">
        <f t="shared" si="35"/>
        <v>-2.6099662161425141</v>
      </c>
      <c r="R266" s="105">
        <f t="shared" si="35"/>
        <v>0</v>
      </c>
      <c r="S266" s="104">
        <f t="shared" si="21"/>
        <v>0</v>
      </c>
      <c r="T266" s="104">
        <f t="shared" si="22"/>
        <v>0</v>
      </c>
      <c r="U266" s="104">
        <f t="shared" si="36"/>
        <v>0</v>
      </c>
      <c r="V266" s="103">
        <f t="shared" si="24"/>
        <v>0</v>
      </c>
      <c r="W266" s="103">
        <f t="shared" si="25"/>
        <v>0</v>
      </c>
      <c r="X266" s="103">
        <f t="shared" si="26"/>
        <v>0</v>
      </c>
      <c r="Z266" s="102"/>
      <c r="AA266" s="102"/>
    </row>
    <row r="267" spans="1:27" x14ac:dyDescent="0.25">
      <c r="A267" s="530"/>
      <c r="B267" s="96">
        <v>61</v>
      </c>
      <c r="C267" s="110">
        <v>0</v>
      </c>
      <c r="D267" s="110">
        <f t="shared" si="27"/>
        <v>2760.7739999999999</v>
      </c>
      <c r="E267" s="109">
        <f t="shared" si="15"/>
        <v>0</v>
      </c>
      <c r="F267" s="108">
        <v>0</v>
      </c>
      <c r="G267" s="108">
        <v>0</v>
      </c>
      <c r="H267" s="107">
        <v>0</v>
      </c>
      <c r="I267" s="106">
        <f t="shared" si="33"/>
        <v>0</v>
      </c>
      <c r="J267" s="104">
        <f t="shared" si="33"/>
        <v>0</v>
      </c>
      <c r="K267" s="104">
        <f t="shared" si="17"/>
        <v>0</v>
      </c>
      <c r="L267" s="102">
        <v>0</v>
      </c>
      <c r="M267" s="104">
        <v>0</v>
      </c>
      <c r="N267" s="104">
        <v>0</v>
      </c>
      <c r="O267" s="104">
        <f t="shared" si="18"/>
        <v>2.6099662161425141</v>
      </c>
      <c r="P267" s="104">
        <f t="shared" si="34"/>
        <v>0</v>
      </c>
      <c r="Q267" s="105">
        <f t="shared" si="35"/>
        <v>-2.6099662161425141</v>
      </c>
      <c r="R267" s="105">
        <f t="shared" si="35"/>
        <v>0</v>
      </c>
      <c r="S267" s="104">
        <f t="shared" si="21"/>
        <v>0</v>
      </c>
      <c r="T267" s="104">
        <f t="shared" si="22"/>
        <v>0</v>
      </c>
      <c r="U267" s="104">
        <f t="shared" si="36"/>
        <v>0</v>
      </c>
      <c r="V267" s="103">
        <f t="shared" si="24"/>
        <v>0</v>
      </c>
      <c r="W267" s="103">
        <f t="shared" si="25"/>
        <v>0</v>
      </c>
      <c r="X267" s="103">
        <f t="shared" si="26"/>
        <v>0</v>
      </c>
      <c r="Z267" s="102"/>
      <c r="AA267" s="102"/>
    </row>
    <row r="268" spans="1:27" x14ac:dyDescent="0.25">
      <c r="A268" s="530"/>
      <c r="B268" s="96">
        <v>62</v>
      </c>
      <c r="C268" s="110">
        <v>0</v>
      </c>
      <c r="D268" s="110">
        <f t="shared" si="27"/>
        <v>2760.7739999999999</v>
      </c>
      <c r="E268" s="109">
        <f t="shared" si="15"/>
        <v>0</v>
      </c>
      <c r="F268" s="108">
        <v>0</v>
      </c>
      <c r="G268" s="108">
        <v>0</v>
      </c>
      <c r="H268" s="107">
        <v>0</v>
      </c>
      <c r="I268" s="106">
        <f t="shared" si="33"/>
        <v>0</v>
      </c>
      <c r="J268" s="104">
        <f t="shared" si="33"/>
        <v>0</v>
      </c>
      <c r="K268" s="104">
        <f t="shared" si="17"/>
        <v>0</v>
      </c>
      <c r="L268" s="102">
        <v>0</v>
      </c>
      <c r="M268" s="104">
        <v>0</v>
      </c>
      <c r="N268" s="104">
        <v>0</v>
      </c>
      <c r="O268" s="104">
        <f t="shared" si="18"/>
        <v>2.6099662161425141</v>
      </c>
      <c r="P268" s="104">
        <f t="shared" si="34"/>
        <v>0</v>
      </c>
      <c r="Q268" s="105">
        <f t="shared" si="35"/>
        <v>-2.6099662161425141</v>
      </c>
      <c r="R268" s="105">
        <f t="shared" si="35"/>
        <v>0</v>
      </c>
      <c r="S268" s="104">
        <f t="shared" si="21"/>
        <v>0</v>
      </c>
      <c r="T268" s="104">
        <f t="shared" si="22"/>
        <v>0</v>
      </c>
      <c r="U268" s="104">
        <f t="shared" si="36"/>
        <v>0</v>
      </c>
      <c r="V268" s="103">
        <f t="shared" si="24"/>
        <v>0</v>
      </c>
      <c r="W268" s="103">
        <f t="shared" si="25"/>
        <v>0</v>
      </c>
      <c r="X268" s="103">
        <f t="shared" si="26"/>
        <v>0</v>
      </c>
      <c r="Z268" s="102"/>
      <c r="AA268" s="102"/>
    </row>
    <row r="269" spans="1:27" x14ac:dyDescent="0.25">
      <c r="A269" s="530"/>
      <c r="B269" s="96">
        <v>63</v>
      </c>
      <c r="C269" s="110">
        <v>0</v>
      </c>
      <c r="D269" s="110">
        <f t="shared" si="27"/>
        <v>2760.7739999999999</v>
      </c>
      <c r="E269" s="109">
        <f t="shared" si="15"/>
        <v>0</v>
      </c>
      <c r="F269" s="108">
        <v>0</v>
      </c>
      <c r="G269" s="108">
        <v>0</v>
      </c>
      <c r="H269" s="107">
        <v>0</v>
      </c>
      <c r="I269" s="106">
        <f t="shared" si="33"/>
        <v>0</v>
      </c>
      <c r="J269" s="104">
        <f t="shared" si="33"/>
        <v>0</v>
      </c>
      <c r="K269" s="104">
        <f t="shared" si="17"/>
        <v>0</v>
      </c>
      <c r="L269" s="102">
        <v>0</v>
      </c>
      <c r="M269" s="104">
        <v>0</v>
      </c>
      <c r="N269" s="104">
        <v>0</v>
      </c>
      <c r="O269" s="104">
        <f t="shared" si="18"/>
        <v>2.6099662161425141</v>
      </c>
      <c r="P269" s="104">
        <f t="shared" si="34"/>
        <v>0</v>
      </c>
      <c r="Q269" s="105">
        <f t="shared" si="35"/>
        <v>-2.6099662161425141</v>
      </c>
      <c r="R269" s="105">
        <f t="shared" si="35"/>
        <v>0</v>
      </c>
      <c r="S269" s="104">
        <f t="shared" si="21"/>
        <v>0</v>
      </c>
      <c r="T269" s="104">
        <f t="shared" si="22"/>
        <v>0</v>
      </c>
      <c r="U269" s="104">
        <f t="shared" si="36"/>
        <v>0</v>
      </c>
      <c r="V269" s="103">
        <f t="shared" si="24"/>
        <v>0</v>
      </c>
      <c r="W269" s="103">
        <f t="shared" si="25"/>
        <v>0</v>
      </c>
      <c r="X269" s="103">
        <f t="shared" si="26"/>
        <v>0</v>
      </c>
      <c r="Z269" s="102"/>
      <c r="AA269" s="102"/>
    </row>
    <row r="270" spans="1:27" x14ac:dyDescent="0.25">
      <c r="A270" s="530"/>
      <c r="B270" s="96">
        <v>64</v>
      </c>
      <c r="C270" s="110">
        <v>0</v>
      </c>
      <c r="D270" s="110">
        <f t="shared" si="27"/>
        <v>2760.7739999999999</v>
      </c>
      <c r="E270" s="109">
        <f t="shared" si="15"/>
        <v>0</v>
      </c>
      <c r="F270" s="108">
        <v>0</v>
      </c>
      <c r="G270" s="108">
        <v>0</v>
      </c>
      <c r="H270" s="107">
        <v>0</v>
      </c>
      <c r="I270" s="106">
        <f t="shared" si="33"/>
        <v>0</v>
      </c>
      <c r="J270" s="104">
        <f t="shared" si="33"/>
        <v>0</v>
      </c>
      <c r="K270" s="104">
        <f t="shared" si="17"/>
        <v>0</v>
      </c>
      <c r="L270" s="102">
        <v>0</v>
      </c>
      <c r="M270" s="104">
        <v>0</v>
      </c>
      <c r="N270" s="104">
        <v>0</v>
      </c>
      <c r="O270" s="104">
        <f t="shared" si="18"/>
        <v>2.6099662161425141</v>
      </c>
      <c r="P270" s="104">
        <f t="shared" si="34"/>
        <v>0</v>
      </c>
      <c r="Q270" s="105">
        <f t="shared" si="35"/>
        <v>-2.6099662161425141</v>
      </c>
      <c r="R270" s="105">
        <f t="shared" si="35"/>
        <v>0</v>
      </c>
      <c r="S270" s="104">
        <f t="shared" si="21"/>
        <v>0</v>
      </c>
      <c r="T270" s="104">
        <f t="shared" si="22"/>
        <v>0</v>
      </c>
      <c r="U270" s="104">
        <f t="shared" si="36"/>
        <v>0</v>
      </c>
      <c r="V270" s="103">
        <f t="shared" si="24"/>
        <v>0</v>
      </c>
      <c r="W270" s="103">
        <f t="shared" si="25"/>
        <v>0</v>
      </c>
      <c r="X270" s="103">
        <f t="shared" si="26"/>
        <v>0</v>
      </c>
      <c r="Z270" s="102"/>
      <c r="AA270" s="102"/>
    </row>
    <row r="271" spans="1:27" x14ac:dyDescent="0.25">
      <c r="A271" s="530"/>
      <c r="B271" s="96">
        <v>65</v>
      </c>
      <c r="C271" s="110">
        <v>0</v>
      </c>
      <c r="D271" s="110">
        <f t="shared" si="27"/>
        <v>2760.7739999999999</v>
      </c>
      <c r="E271" s="109">
        <f t="shared" ref="E271:E301" si="37">C271/D271</f>
        <v>0</v>
      </c>
      <c r="F271" s="108">
        <v>0</v>
      </c>
      <c r="G271" s="108">
        <v>0</v>
      </c>
      <c r="H271" s="107">
        <v>0</v>
      </c>
      <c r="I271" s="106">
        <f t="shared" ref="I271:J301" si="38">H271*E271</f>
        <v>0</v>
      </c>
      <c r="J271" s="104">
        <f t="shared" si="38"/>
        <v>0</v>
      </c>
      <c r="K271" s="104">
        <f t="shared" ref="K271:K301" si="39">I271*G271</f>
        <v>0</v>
      </c>
      <c r="L271" s="102">
        <v>0</v>
      </c>
      <c r="M271" s="104">
        <v>0</v>
      </c>
      <c r="N271" s="104">
        <v>0</v>
      </c>
      <c r="O271" s="104">
        <f t="shared" ref="O271:O301" si="40">$H$307</f>
        <v>2.6099662161425141</v>
      </c>
      <c r="P271" s="104">
        <f t="shared" si="34"/>
        <v>0</v>
      </c>
      <c r="Q271" s="105">
        <f t="shared" ref="Q271:R301" si="41">F271-O271</f>
        <v>-2.6099662161425141</v>
      </c>
      <c r="R271" s="105">
        <f t="shared" si="41"/>
        <v>0</v>
      </c>
      <c r="S271" s="104">
        <f t="shared" ref="S271:S301" si="42">H271*Q271^2</f>
        <v>0</v>
      </c>
      <c r="T271" s="104">
        <f t="shared" ref="T271:T301" si="43">H271*R271^2</f>
        <v>0</v>
      </c>
      <c r="U271" s="104">
        <f t="shared" si="36"/>
        <v>0</v>
      </c>
      <c r="V271" s="103">
        <f t="shared" ref="V271:V301" si="44">E271*(L271+T271)</f>
        <v>0</v>
      </c>
      <c r="W271" s="103">
        <f t="shared" ref="W271:W301" si="45">E271*(M271+S271)</f>
        <v>0</v>
      </c>
      <c r="X271" s="103">
        <f t="shared" ref="X271:X301" si="46">E271*(N271+U271)</f>
        <v>0</v>
      </c>
      <c r="Z271" s="102"/>
      <c r="AA271" s="102"/>
    </row>
    <row r="272" spans="1:27" x14ac:dyDescent="0.25">
      <c r="A272" s="530"/>
      <c r="B272" s="96">
        <v>66</v>
      </c>
      <c r="C272" s="110">
        <v>0</v>
      </c>
      <c r="D272" s="110">
        <f t="shared" ref="D272:D301" si="47">$C$228</f>
        <v>2760.7739999999999</v>
      </c>
      <c r="E272" s="109">
        <f t="shared" si="37"/>
        <v>0</v>
      </c>
      <c r="F272" s="108">
        <v>0</v>
      </c>
      <c r="G272" s="108">
        <v>0</v>
      </c>
      <c r="H272" s="107">
        <v>0</v>
      </c>
      <c r="I272" s="106">
        <f t="shared" si="38"/>
        <v>0</v>
      </c>
      <c r="J272" s="104">
        <f t="shared" si="38"/>
        <v>0</v>
      </c>
      <c r="K272" s="104">
        <f t="shared" si="39"/>
        <v>0</v>
      </c>
      <c r="L272" s="102">
        <v>0</v>
      </c>
      <c r="M272" s="104">
        <v>0</v>
      </c>
      <c r="N272" s="104">
        <v>0</v>
      </c>
      <c r="O272" s="104">
        <f t="shared" si="40"/>
        <v>2.6099662161425141</v>
      </c>
      <c r="P272" s="104">
        <f t="shared" si="34"/>
        <v>0</v>
      </c>
      <c r="Q272" s="105">
        <f t="shared" si="41"/>
        <v>-2.6099662161425141</v>
      </c>
      <c r="R272" s="105">
        <f t="shared" si="41"/>
        <v>0</v>
      </c>
      <c r="S272" s="104">
        <f t="shared" si="42"/>
        <v>0</v>
      </c>
      <c r="T272" s="104">
        <f t="shared" si="43"/>
        <v>0</v>
      </c>
      <c r="U272" s="104">
        <f t="shared" si="36"/>
        <v>0</v>
      </c>
      <c r="V272" s="103">
        <f t="shared" si="44"/>
        <v>0</v>
      </c>
      <c r="W272" s="103">
        <f t="shared" si="45"/>
        <v>0</v>
      </c>
      <c r="X272" s="103">
        <f t="shared" si="46"/>
        <v>0</v>
      </c>
      <c r="Z272" s="102"/>
      <c r="AA272" s="102"/>
    </row>
    <row r="273" spans="1:27" x14ac:dyDescent="0.25">
      <c r="A273" s="530"/>
      <c r="B273" s="96">
        <v>67</v>
      </c>
      <c r="C273" s="110">
        <v>0</v>
      </c>
      <c r="D273" s="110">
        <f t="shared" si="47"/>
        <v>2760.7739999999999</v>
      </c>
      <c r="E273" s="109">
        <f t="shared" si="37"/>
        <v>0</v>
      </c>
      <c r="F273" s="108">
        <v>0</v>
      </c>
      <c r="G273" s="108">
        <v>0</v>
      </c>
      <c r="H273" s="107">
        <v>0</v>
      </c>
      <c r="I273" s="106">
        <f t="shared" si="38"/>
        <v>0</v>
      </c>
      <c r="J273" s="104">
        <f t="shared" si="38"/>
        <v>0</v>
      </c>
      <c r="K273" s="104">
        <f t="shared" si="39"/>
        <v>0</v>
      </c>
      <c r="L273" s="102">
        <v>0</v>
      </c>
      <c r="M273" s="104">
        <v>0</v>
      </c>
      <c r="N273" s="104">
        <v>0</v>
      </c>
      <c r="O273" s="104">
        <f t="shared" si="40"/>
        <v>2.6099662161425141</v>
      </c>
      <c r="P273" s="104">
        <f t="shared" si="34"/>
        <v>0</v>
      </c>
      <c r="Q273" s="105">
        <f t="shared" si="41"/>
        <v>-2.6099662161425141</v>
      </c>
      <c r="R273" s="105">
        <f t="shared" si="41"/>
        <v>0</v>
      </c>
      <c r="S273" s="104">
        <f t="shared" si="42"/>
        <v>0</v>
      </c>
      <c r="T273" s="104">
        <f t="shared" si="43"/>
        <v>0</v>
      </c>
      <c r="U273" s="104">
        <f t="shared" si="36"/>
        <v>0</v>
      </c>
      <c r="V273" s="103">
        <f t="shared" si="44"/>
        <v>0</v>
      </c>
      <c r="W273" s="103">
        <f t="shared" si="45"/>
        <v>0</v>
      </c>
      <c r="X273" s="103">
        <f t="shared" si="46"/>
        <v>0</v>
      </c>
      <c r="Z273" s="102"/>
      <c r="AA273" s="102"/>
    </row>
    <row r="274" spans="1:27" x14ac:dyDescent="0.25">
      <c r="A274" s="530"/>
      <c r="B274" s="96">
        <v>68</v>
      </c>
      <c r="C274" s="110">
        <v>0</v>
      </c>
      <c r="D274" s="110">
        <f t="shared" si="47"/>
        <v>2760.7739999999999</v>
      </c>
      <c r="E274" s="109">
        <f t="shared" si="37"/>
        <v>0</v>
      </c>
      <c r="F274" s="108">
        <v>0</v>
      </c>
      <c r="G274" s="108">
        <v>0</v>
      </c>
      <c r="H274" s="107">
        <v>0</v>
      </c>
      <c r="I274" s="106">
        <f t="shared" si="38"/>
        <v>0</v>
      </c>
      <c r="J274" s="104">
        <f t="shared" si="38"/>
        <v>0</v>
      </c>
      <c r="K274" s="104">
        <f t="shared" si="39"/>
        <v>0</v>
      </c>
      <c r="L274" s="102">
        <v>0</v>
      </c>
      <c r="M274" s="104">
        <v>0</v>
      </c>
      <c r="N274" s="104">
        <v>0</v>
      </c>
      <c r="O274" s="104">
        <f t="shared" si="40"/>
        <v>2.6099662161425141</v>
      </c>
      <c r="P274" s="104">
        <f t="shared" si="34"/>
        <v>0</v>
      </c>
      <c r="Q274" s="105">
        <f t="shared" si="41"/>
        <v>-2.6099662161425141</v>
      </c>
      <c r="R274" s="105">
        <f t="shared" si="41"/>
        <v>0</v>
      </c>
      <c r="S274" s="104">
        <f t="shared" si="42"/>
        <v>0</v>
      </c>
      <c r="T274" s="104">
        <f t="shared" si="43"/>
        <v>0</v>
      </c>
      <c r="U274" s="104">
        <f t="shared" si="36"/>
        <v>0</v>
      </c>
      <c r="V274" s="103">
        <f t="shared" si="44"/>
        <v>0</v>
      </c>
      <c r="W274" s="103">
        <f t="shared" si="45"/>
        <v>0</v>
      </c>
      <c r="X274" s="103">
        <f t="shared" si="46"/>
        <v>0</v>
      </c>
      <c r="Z274" s="102"/>
      <c r="AA274" s="102"/>
    </row>
    <row r="275" spans="1:27" x14ac:dyDescent="0.25">
      <c r="A275" s="530"/>
      <c r="B275" s="96">
        <v>69</v>
      </c>
      <c r="C275" s="110">
        <v>0</v>
      </c>
      <c r="D275" s="110">
        <f t="shared" si="47"/>
        <v>2760.7739999999999</v>
      </c>
      <c r="E275" s="109">
        <f t="shared" si="37"/>
        <v>0</v>
      </c>
      <c r="F275" s="108">
        <v>0</v>
      </c>
      <c r="G275" s="108">
        <v>0</v>
      </c>
      <c r="H275" s="107">
        <v>0</v>
      </c>
      <c r="I275" s="106">
        <f t="shared" si="38"/>
        <v>0</v>
      </c>
      <c r="J275" s="104">
        <f t="shared" si="38"/>
        <v>0</v>
      </c>
      <c r="K275" s="104">
        <f t="shared" si="39"/>
        <v>0</v>
      </c>
      <c r="L275" s="102">
        <v>0</v>
      </c>
      <c r="M275" s="104">
        <v>0</v>
      </c>
      <c r="N275" s="104">
        <v>0</v>
      </c>
      <c r="O275" s="104">
        <f t="shared" si="40"/>
        <v>2.6099662161425141</v>
      </c>
      <c r="P275" s="104">
        <f t="shared" si="34"/>
        <v>0</v>
      </c>
      <c r="Q275" s="105">
        <f t="shared" si="41"/>
        <v>-2.6099662161425141</v>
      </c>
      <c r="R275" s="105">
        <f t="shared" si="41"/>
        <v>0</v>
      </c>
      <c r="S275" s="104">
        <f t="shared" si="42"/>
        <v>0</v>
      </c>
      <c r="T275" s="104">
        <f t="shared" si="43"/>
        <v>0</v>
      </c>
      <c r="U275" s="104">
        <f t="shared" si="36"/>
        <v>0</v>
      </c>
      <c r="V275" s="103">
        <f t="shared" si="44"/>
        <v>0</v>
      </c>
      <c r="W275" s="103">
        <f t="shared" si="45"/>
        <v>0</v>
      </c>
      <c r="X275" s="103">
        <f t="shared" si="46"/>
        <v>0</v>
      </c>
      <c r="Z275" s="102"/>
      <c r="AA275" s="102"/>
    </row>
    <row r="276" spans="1:27" x14ac:dyDescent="0.25">
      <c r="A276" s="530"/>
      <c r="B276" s="96">
        <v>70</v>
      </c>
      <c r="C276" s="110">
        <v>0</v>
      </c>
      <c r="D276" s="110">
        <f t="shared" si="47"/>
        <v>2760.7739999999999</v>
      </c>
      <c r="E276" s="109">
        <f t="shared" si="37"/>
        <v>0</v>
      </c>
      <c r="F276" s="108">
        <v>0</v>
      </c>
      <c r="G276" s="108">
        <v>0</v>
      </c>
      <c r="H276" s="107">
        <v>0</v>
      </c>
      <c r="I276" s="106">
        <f t="shared" si="38"/>
        <v>0</v>
      </c>
      <c r="J276" s="104">
        <f t="shared" si="38"/>
        <v>0</v>
      </c>
      <c r="K276" s="104">
        <f t="shared" si="39"/>
        <v>0</v>
      </c>
      <c r="L276" s="102">
        <v>0</v>
      </c>
      <c r="M276" s="104">
        <v>0</v>
      </c>
      <c r="N276" s="104">
        <v>0</v>
      </c>
      <c r="O276" s="104">
        <f t="shared" si="40"/>
        <v>2.6099662161425141</v>
      </c>
      <c r="P276" s="104">
        <f t="shared" si="34"/>
        <v>0</v>
      </c>
      <c r="Q276" s="105">
        <f t="shared" si="41"/>
        <v>-2.6099662161425141</v>
      </c>
      <c r="R276" s="105">
        <f t="shared" si="41"/>
        <v>0</v>
      </c>
      <c r="S276" s="104">
        <f t="shared" si="42"/>
        <v>0</v>
      </c>
      <c r="T276" s="104">
        <f t="shared" si="43"/>
        <v>0</v>
      </c>
      <c r="U276" s="104">
        <f t="shared" si="36"/>
        <v>0</v>
      </c>
      <c r="V276" s="103">
        <f t="shared" si="44"/>
        <v>0</v>
      </c>
      <c r="W276" s="103">
        <f t="shared" si="45"/>
        <v>0</v>
      </c>
      <c r="X276" s="103">
        <f t="shared" si="46"/>
        <v>0</v>
      </c>
      <c r="Z276" s="102"/>
      <c r="AA276" s="102"/>
    </row>
    <row r="277" spans="1:27" x14ac:dyDescent="0.25">
      <c r="A277" s="530"/>
      <c r="B277" s="96">
        <v>71</v>
      </c>
      <c r="C277" s="110">
        <v>0</v>
      </c>
      <c r="D277" s="110">
        <f t="shared" si="47"/>
        <v>2760.7739999999999</v>
      </c>
      <c r="E277" s="109">
        <f t="shared" si="37"/>
        <v>0</v>
      </c>
      <c r="F277" s="108">
        <v>0</v>
      </c>
      <c r="G277" s="108">
        <v>0</v>
      </c>
      <c r="H277" s="107">
        <v>0</v>
      </c>
      <c r="I277" s="106">
        <f t="shared" si="38"/>
        <v>0</v>
      </c>
      <c r="J277" s="104">
        <f t="shared" si="38"/>
        <v>0</v>
      </c>
      <c r="K277" s="104">
        <f t="shared" si="39"/>
        <v>0</v>
      </c>
      <c r="L277" s="102">
        <v>0</v>
      </c>
      <c r="M277" s="104">
        <v>0</v>
      </c>
      <c r="N277" s="104">
        <v>0</v>
      </c>
      <c r="O277" s="104">
        <f t="shared" si="40"/>
        <v>2.6099662161425141</v>
      </c>
      <c r="P277" s="104">
        <f t="shared" si="34"/>
        <v>0</v>
      </c>
      <c r="Q277" s="105">
        <f t="shared" si="41"/>
        <v>-2.6099662161425141</v>
      </c>
      <c r="R277" s="105">
        <f t="shared" si="41"/>
        <v>0</v>
      </c>
      <c r="S277" s="104">
        <f t="shared" si="42"/>
        <v>0</v>
      </c>
      <c r="T277" s="104">
        <f t="shared" si="43"/>
        <v>0</v>
      </c>
      <c r="U277" s="104">
        <f t="shared" si="36"/>
        <v>0</v>
      </c>
      <c r="V277" s="103">
        <f t="shared" si="44"/>
        <v>0</v>
      </c>
      <c r="W277" s="103">
        <f t="shared" si="45"/>
        <v>0</v>
      </c>
      <c r="X277" s="103">
        <f t="shared" si="46"/>
        <v>0</v>
      </c>
      <c r="Z277" s="102"/>
      <c r="AA277" s="102"/>
    </row>
    <row r="278" spans="1:27" x14ac:dyDescent="0.25">
      <c r="A278" s="530"/>
      <c r="B278" s="96">
        <v>72</v>
      </c>
      <c r="C278" s="110">
        <v>0</v>
      </c>
      <c r="D278" s="110">
        <f t="shared" si="47"/>
        <v>2760.7739999999999</v>
      </c>
      <c r="E278" s="109">
        <f t="shared" si="37"/>
        <v>0</v>
      </c>
      <c r="F278" s="108">
        <v>0</v>
      </c>
      <c r="G278" s="108">
        <v>0</v>
      </c>
      <c r="H278" s="107">
        <v>0</v>
      </c>
      <c r="I278" s="106">
        <f t="shared" si="38"/>
        <v>0</v>
      </c>
      <c r="J278" s="104">
        <f t="shared" si="38"/>
        <v>0</v>
      </c>
      <c r="K278" s="104">
        <f t="shared" si="39"/>
        <v>0</v>
      </c>
      <c r="L278" s="102">
        <v>0</v>
      </c>
      <c r="M278" s="104">
        <v>0</v>
      </c>
      <c r="N278" s="104">
        <v>0</v>
      </c>
      <c r="O278" s="104">
        <f t="shared" si="40"/>
        <v>2.6099662161425141</v>
      </c>
      <c r="P278" s="104">
        <f t="shared" si="34"/>
        <v>0</v>
      </c>
      <c r="Q278" s="105">
        <f t="shared" si="41"/>
        <v>-2.6099662161425141</v>
      </c>
      <c r="R278" s="105">
        <f t="shared" si="41"/>
        <v>0</v>
      </c>
      <c r="S278" s="104">
        <f t="shared" si="42"/>
        <v>0</v>
      </c>
      <c r="T278" s="104">
        <f t="shared" si="43"/>
        <v>0</v>
      </c>
      <c r="U278" s="104">
        <f t="shared" si="36"/>
        <v>0</v>
      </c>
      <c r="V278" s="103">
        <f t="shared" si="44"/>
        <v>0</v>
      </c>
      <c r="W278" s="103">
        <f t="shared" si="45"/>
        <v>0</v>
      </c>
      <c r="X278" s="103">
        <f t="shared" si="46"/>
        <v>0</v>
      </c>
      <c r="Z278" s="102"/>
      <c r="AA278" s="102"/>
    </row>
    <row r="279" spans="1:27" x14ac:dyDescent="0.25">
      <c r="A279" s="530"/>
      <c r="B279" s="96">
        <v>73</v>
      </c>
      <c r="C279" s="110">
        <v>0</v>
      </c>
      <c r="D279" s="110">
        <f t="shared" si="47"/>
        <v>2760.7739999999999</v>
      </c>
      <c r="E279" s="109">
        <f t="shared" si="37"/>
        <v>0</v>
      </c>
      <c r="F279" s="108">
        <v>0</v>
      </c>
      <c r="G279" s="108">
        <v>0</v>
      </c>
      <c r="H279" s="107">
        <v>0</v>
      </c>
      <c r="I279" s="106">
        <f t="shared" si="38"/>
        <v>0</v>
      </c>
      <c r="J279" s="104">
        <f t="shared" si="38"/>
        <v>0</v>
      </c>
      <c r="K279" s="104">
        <f t="shared" si="39"/>
        <v>0</v>
      </c>
      <c r="L279" s="102">
        <v>0</v>
      </c>
      <c r="M279" s="104">
        <v>0</v>
      </c>
      <c r="N279" s="104">
        <v>0</v>
      </c>
      <c r="O279" s="104">
        <f t="shared" si="40"/>
        <v>2.6099662161425141</v>
      </c>
      <c r="P279" s="104">
        <f t="shared" si="34"/>
        <v>0</v>
      </c>
      <c r="Q279" s="105">
        <f t="shared" si="41"/>
        <v>-2.6099662161425141</v>
      </c>
      <c r="R279" s="105">
        <f t="shared" si="41"/>
        <v>0</v>
      </c>
      <c r="S279" s="104">
        <f t="shared" si="42"/>
        <v>0</v>
      </c>
      <c r="T279" s="104">
        <f t="shared" si="43"/>
        <v>0</v>
      </c>
      <c r="U279" s="104">
        <f t="shared" si="36"/>
        <v>0</v>
      </c>
      <c r="V279" s="103">
        <f t="shared" si="44"/>
        <v>0</v>
      </c>
      <c r="W279" s="103">
        <f t="shared" si="45"/>
        <v>0</v>
      </c>
      <c r="X279" s="103">
        <f t="shared" si="46"/>
        <v>0</v>
      </c>
      <c r="Z279" s="102"/>
      <c r="AA279" s="102"/>
    </row>
    <row r="280" spans="1:27" x14ac:dyDescent="0.25">
      <c r="A280" s="530"/>
      <c r="B280" s="96">
        <v>74</v>
      </c>
      <c r="C280" s="110">
        <v>0</v>
      </c>
      <c r="D280" s="110">
        <f t="shared" si="47"/>
        <v>2760.7739999999999</v>
      </c>
      <c r="E280" s="109">
        <f t="shared" si="37"/>
        <v>0</v>
      </c>
      <c r="F280" s="108">
        <v>0</v>
      </c>
      <c r="G280" s="108">
        <v>0</v>
      </c>
      <c r="H280" s="107">
        <v>0</v>
      </c>
      <c r="I280" s="106">
        <f t="shared" si="38"/>
        <v>0</v>
      </c>
      <c r="J280" s="104">
        <f t="shared" si="38"/>
        <v>0</v>
      </c>
      <c r="K280" s="104">
        <f t="shared" si="39"/>
        <v>0</v>
      </c>
      <c r="L280" s="102">
        <v>0</v>
      </c>
      <c r="M280" s="104">
        <v>0</v>
      </c>
      <c r="N280" s="104">
        <v>0</v>
      </c>
      <c r="O280" s="104">
        <f t="shared" si="40"/>
        <v>2.6099662161425141</v>
      </c>
      <c r="P280" s="104">
        <f t="shared" si="34"/>
        <v>0</v>
      </c>
      <c r="Q280" s="105">
        <f t="shared" si="41"/>
        <v>-2.6099662161425141</v>
      </c>
      <c r="R280" s="105">
        <f t="shared" si="41"/>
        <v>0</v>
      </c>
      <c r="S280" s="104">
        <f t="shared" si="42"/>
        <v>0</v>
      </c>
      <c r="T280" s="104">
        <f t="shared" si="43"/>
        <v>0</v>
      </c>
      <c r="U280" s="104">
        <f t="shared" si="36"/>
        <v>0</v>
      </c>
      <c r="V280" s="103">
        <f t="shared" si="44"/>
        <v>0</v>
      </c>
      <c r="W280" s="103">
        <f t="shared" si="45"/>
        <v>0</v>
      </c>
      <c r="X280" s="103">
        <f t="shared" si="46"/>
        <v>0</v>
      </c>
      <c r="Z280" s="102"/>
      <c r="AA280" s="102"/>
    </row>
    <row r="281" spans="1:27" x14ac:dyDescent="0.25">
      <c r="A281" s="530"/>
      <c r="B281" s="96">
        <v>75</v>
      </c>
      <c r="C281" s="110">
        <v>0</v>
      </c>
      <c r="D281" s="110">
        <f t="shared" si="47"/>
        <v>2760.7739999999999</v>
      </c>
      <c r="E281" s="109">
        <f t="shared" si="37"/>
        <v>0</v>
      </c>
      <c r="F281" s="108">
        <v>0</v>
      </c>
      <c r="G281" s="108">
        <v>0</v>
      </c>
      <c r="H281" s="107">
        <v>0</v>
      </c>
      <c r="I281" s="106">
        <f t="shared" si="38"/>
        <v>0</v>
      </c>
      <c r="J281" s="104">
        <f t="shared" si="38"/>
        <v>0</v>
      </c>
      <c r="K281" s="104">
        <f t="shared" si="39"/>
        <v>0</v>
      </c>
      <c r="L281" s="102">
        <v>0</v>
      </c>
      <c r="M281" s="104">
        <v>0</v>
      </c>
      <c r="N281" s="104">
        <v>0</v>
      </c>
      <c r="O281" s="104">
        <f t="shared" si="40"/>
        <v>2.6099662161425141</v>
      </c>
      <c r="P281" s="104">
        <f t="shared" si="34"/>
        <v>0</v>
      </c>
      <c r="Q281" s="105">
        <f t="shared" si="41"/>
        <v>-2.6099662161425141</v>
      </c>
      <c r="R281" s="105">
        <f t="shared" si="41"/>
        <v>0</v>
      </c>
      <c r="S281" s="104">
        <f t="shared" si="42"/>
        <v>0</v>
      </c>
      <c r="T281" s="104">
        <f t="shared" si="43"/>
        <v>0</v>
      </c>
      <c r="U281" s="104">
        <f t="shared" si="36"/>
        <v>0</v>
      </c>
      <c r="V281" s="103">
        <f t="shared" si="44"/>
        <v>0</v>
      </c>
      <c r="W281" s="103">
        <f t="shared" si="45"/>
        <v>0</v>
      </c>
      <c r="X281" s="103">
        <f t="shared" si="46"/>
        <v>0</v>
      </c>
      <c r="Z281" s="102"/>
      <c r="AA281" s="102"/>
    </row>
    <row r="282" spans="1:27" x14ac:dyDescent="0.25">
      <c r="A282" s="530"/>
      <c r="B282" s="96">
        <v>76</v>
      </c>
      <c r="C282" s="110">
        <v>0</v>
      </c>
      <c r="D282" s="110">
        <f t="shared" si="47"/>
        <v>2760.7739999999999</v>
      </c>
      <c r="E282" s="109">
        <f t="shared" si="37"/>
        <v>0</v>
      </c>
      <c r="F282" s="108">
        <v>0</v>
      </c>
      <c r="G282" s="108">
        <v>0</v>
      </c>
      <c r="H282" s="107">
        <v>0</v>
      </c>
      <c r="I282" s="106">
        <f t="shared" si="38"/>
        <v>0</v>
      </c>
      <c r="J282" s="104">
        <f t="shared" si="38"/>
        <v>0</v>
      </c>
      <c r="K282" s="104">
        <f t="shared" si="39"/>
        <v>0</v>
      </c>
      <c r="L282" s="102">
        <v>0</v>
      </c>
      <c r="M282" s="104">
        <v>0</v>
      </c>
      <c r="N282" s="104">
        <v>0</v>
      </c>
      <c r="O282" s="104">
        <f t="shared" si="40"/>
        <v>2.6099662161425141</v>
      </c>
      <c r="P282" s="104">
        <f t="shared" si="34"/>
        <v>0</v>
      </c>
      <c r="Q282" s="105">
        <f t="shared" si="41"/>
        <v>-2.6099662161425141</v>
      </c>
      <c r="R282" s="105">
        <f t="shared" si="41"/>
        <v>0</v>
      </c>
      <c r="S282" s="104">
        <f t="shared" si="42"/>
        <v>0</v>
      </c>
      <c r="T282" s="104">
        <f t="shared" si="43"/>
        <v>0</v>
      </c>
      <c r="U282" s="104">
        <f t="shared" si="36"/>
        <v>0</v>
      </c>
      <c r="V282" s="103">
        <f t="shared" si="44"/>
        <v>0</v>
      </c>
      <c r="W282" s="103">
        <f t="shared" si="45"/>
        <v>0</v>
      </c>
      <c r="X282" s="103">
        <f t="shared" si="46"/>
        <v>0</v>
      </c>
      <c r="Z282" s="102"/>
      <c r="AA282" s="102"/>
    </row>
    <row r="283" spans="1:27" x14ac:dyDescent="0.25">
      <c r="A283" s="530"/>
      <c r="B283" s="96">
        <v>77</v>
      </c>
      <c r="C283" s="110">
        <v>0</v>
      </c>
      <c r="D283" s="110">
        <f t="shared" si="47"/>
        <v>2760.7739999999999</v>
      </c>
      <c r="E283" s="109">
        <f t="shared" si="37"/>
        <v>0</v>
      </c>
      <c r="F283" s="108">
        <v>0</v>
      </c>
      <c r="G283" s="108">
        <v>0</v>
      </c>
      <c r="H283" s="107">
        <v>0</v>
      </c>
      <c r="I283" s="106">
        <f t="shared" si="38"/>
        <v>0</v>
      </c>
      <c r="J283" s="104">
        <f t="shared" si="38"/>
        <v>0</v>
      </c>
      <c r="K283" s="104">
        <f t="shared" si="39"/>
        <v>0</v>
      </c>
      <c r="L283" s="102">
        <v>0</v>
      </c>
      <c r="M283" s="104">
        <v>0</v>
      </c>
      <c r="N283" s="104">
        <v>0</v>
      </c>
      <c r="O283" s="104">
        <f t="shared" si="40"/>
        <v>2.6099662161425141</v>
      </c>
      <c r="P283" s="104">
        <f t="shared" si="34"/>
        <v>0</v>
      </c>
      <c r="Q283" s="105">
        <f t="shared" si="41"/>
        <v>-2.6099662161425141</v>
      </c>
      <c r="R283" s="105">
        <f t="shared" si="41"/>
        <v>0</v>
      </c>
      <c r="S283" s="104">
        <f t="shared" si="42"/>
        <v>0</v>
      </c>
      <c r="T283" s="104">
        <f t="shared" si="43"/>
        <v>0</v>
      </c>
      <c r="U283" s="104">
        <f t="shared" si="36"/>
        <v>0</v>
      </c>
      <c r="V283" s="103">
        <f t="shared" si="44"/>
        <v>0</v>
      </c>
      <c r="W283" s="103">
        <f t="shared" si="45"/>
        <v>0</v>
      </c>
      <c r="X283" s="103">
        <f t="shared" si="46"/>
        <v>0</v>
      </c>
      <c r="Z283" s="102"/>
      <c r="AA283" s="102"/>
    </row>
    <row r="284" spans="1:27" x14ac:dyDescent="0.25">
      <c r="A284" s="530"/>
      <c r="B284" s="96">
        <v>78</v>
      </c>
      <c r="C284" s="110">
        <v>0</v>
      </c>
      <c r="D284" s="110">
        <f t="shared" si="47"/>
        <v>2760.7739999999999</v>
      </c>
      <c r="E284" s="109">
        <f t="shared" si="37"/>
        <v>0</v>
      </c>
      <c r="F284" s="108">
        <v>0</v>
      </c>
      <c r="G284" s="108">
        <v>0</v>
      </c>
      <c r="H284" s="107">
        <v>0</v>
      </c>
      <c r="I284" s="106">
        <f t="shared" si="38"/>
        <v>0</v>
      </c>
      <c r="J284" s="104">
        <f t="shared" si="38"/>
        <v>0</v>
      </c>
      <c r="K284" s="104">
        <f t="shared" si="39"/>
        <v>0</v>
      </c>
      <c r="L284" s="102">
        <v>0</v>
      </c>
      <c r="M284" s="104">
        <v>0</v>
      </c>
      <c r="N284" s="104">
        <v>0</v>
      </c>
      <c r="O284" s="104">
        <f t="shared" si="40"/>
        <v>2.6099662161425141</v>
      </c>
      <c r="P284" s="104">
        <f t="shared" si="34"/>
        <v>0</v>
      </c>
      <c r="Q284" s="105">
        <f t="shared" si="41"/>
        <v>-2.6099662161425141</v>
      </c>
      <c r="R284" s="105">
        <f t="shared" si="41"/>
        <v>0</v>
      </c>
      <c r="S284" s="104">
        <f t="shared" si="42"/>
        <v>0</v>
      </c>
      <c r="T284" s="104">
        <f t="shared" si="43"/>
        <v>0</v>
      </c>
      <c r="U284" s="104">
        <f t="shared" si="36"/>
        <v>0</v>
      </c>
      <c r="V284" s="103">
        <f t="shared" si="44"/>
        <v>0</v>
      </c>
      <c r="W284" s="103">
        <f t="shared" si="45"/>
        <v>0</v>
      </c>
      <c r="X284" s="103">
        <f t="shared" si="46"/>
        <v>0</v>
      </c>
      <c r="Z284" s="102"/>
      <c r="AA284" s="102"/>
    </row>
    <row r="285" spans="1:27" x14ac:dyDescent="0.25">
      <c r="A285" s="530"/>
      <c r="B285" s="96">
        <v>79</v>
      </c>
      <c r="C285" s="110">
        <v>0</v>
      </c>
      <c r="D285" s="110">
        <f t="shared" si="47"/>
        <v>2760.7739999999999</v>
      </c>
      <c r="E285" s="109">
        <f t="shared" si="37"/>
        <v>0</v>
      </c>
      <c r="F285" s="108">
        <v>0</v>
      </c>
      <c r="G285" s="108">
        <v>0</v>
      </c>
      <c r="H285" s="107">
        <v>0</v>
      </c>
      <c r="I285" s="106">
        <f t="shared" si="38"/>
        <v>0</v>
      </c>
      <c r="J285" s="104">
        <f t="shared" si="38"/>
        <v>0</v>
      </c>
      <c r="K285" s="104">
        <f t="shared" si="39"/>
        <v>0</v>
      </c>
      <c r="L285" s="102">
        <v>0</v>
      </c>
      <c r="M285" s="104">
        <v>0</v>
      </c>
      <c r="N285" s="104">
        <v>0</v>
      </c>
      <c r="O285" s="104">
        <f t="shared" si="40"/>
        <v>2.6099662161425141</v>
      </c>
      <c r="P285" s="104">
        <f t="shared" si="34"/>
        <v>0</v>
      </c>
      <c r="Q285" s="105">
        <f t="shared" si="41"/>
        <v>-2.6099662161425141</v>
      </c>
      <c r="R285" s="105">
        <f t="shared" si="41"/>
        <v>0</v>
      </c>
      <c r="S285" s="104">
        <f t="shared" si="42"/>
        <v>0</v>
      </c>
      <c r="T285" s="104">
        <f t="shared" si="43"/>
        <v>0</v>
      </c>
      <c r="U285" s="104">
        <f t="shared" si="36"/>
        <v>0</v>
      </c>
      <c r="V285" s="103">
        <f t="shared" si="44"/>
        <v>0</v>
      </c>
      <c r="W285" s="103">
        <f t="shared" si="45"/>
        <v>0</v>
      </c>
      <c r="X285" s="103">
        <f t="shared" si="46"/>
        <v>0</v>
      </c>
      <c r="Z285" s="102"/>
      <c r="AA285" s="102"/>
    </row>
    <row r="286" spans="1:27" x14ac:dyDescent="0.25">
      <c r="A286" s="530"/>
      <c r="B286" s="96">
        <v>80</v>
      </c>
      <c r="C286" s="110">
        <v>0</v>
      </c>
      <c r="D286" s="110">
        <f t="shared" si="47"/>
        <v>2760.7739999999999</v>
      </c>
      <c r="E286" s="109">
        <f t="shared" si="37"/>
        <v>0</v>
      </c>
      <c r="F286" s="108">
        <v>0</v>
      </c>
      <c r="G286" s="108">
        <v>0</v>
      </c>
      <c r="H286" s="107">
        <v>0</v>
      </c>
      <c r="I286" s="106">
        <f t="shared" si="38"/>
        <v>0</v>
      </c>
      <c r="J286" s="104">
        <f t="shared" si="38"/>
        <v>0</v>
      </c>
      <c r="K286" s="104">
        <f t="shared" si="39"/>
        <v>0</v>
      </c>
      <c r="L286" s="102">
        <v>0</v>
      </c>
      <c r="M286" s="104">
        <v>0</v>
      </c>
      <c r="N286" s="104">
        <v>0</v>
      </c>
      <c r="O286" s="104">
        <f t="shared" si="40"/>
        <v>2.6099662161425141</v>
      </c>
      <c r="P286" s="104">
        <f t="shared" si="34"/>
        <v>0</v>
      </c>
      <c r="Q286" s="105">
        <f t="shared" si="41"/>
        <v>-2.6099662161425141</v>
      </c>
      <c r="R286" s="105">
        <f t="shared" si="41"/>
        <v>0</v>
      </c>
      <c r="S286" s="104">
        <f t="shared" si="42"/>
        <v>0</v>
      </c>
      <c r="T286" s="104">
        <f t="shared" si="43"/>
        <v>0</v>
      </c>
      <c r="U286" s="104">
        <f t="shared" si="36"/>
        <v>0</v>
      </c>
      <c r="V286" s="103">
        <f t="shared" si="44"/>
        <v>0</v>
      </c>
      <c r="W286" s="103">
        <f t="shared" si="45"/>
        <v>0</v>
      </c>
      <c r="X286" s="103">
        <f t="shared" si="46"/>
        <v>0</v>
      </c>
      <c r="Z286" s="102"/>
      <c r="AA286" s="102"/>
    </row>
    <row r="287" spans="1:27" x14ac:dyDescent="0.25">
      <c r="A287" s="530"/>
      <c r="B287" s="96">
        <v>81</v>
      </c>
      <c r="C287" s="110">
        <v>0</v>
      </c>
      <c r="D287" s="110">
        <f t="shared" si="47"/>
        <v>2760.7739999999999</v>
      </c>
      <c r="E287" s="109">
        <f t="shared" si="37"/>
        <v>0</v>
      </c>
      <c r="F287" s="108">
        <v>0</v>
      </c>
      <c r="G287" s="108">
        <v>0</v>
      </c>
      <c r="H287" s="107">
        <v>0</v>
      </c>
      <c r="I287" s="106">
        <f t="shared" si="38"/>
        <v>0</v>
      </c>
      <c r="J287" s="104">
        <f t="shared" si="38"/>
        <v>0</v>
      </c>
      <c r="K287" s="104">
        <f t="shared" si="39"/>
        <v>0</v>
      </c>
      <c r="L287" s="102">
        <v>0</v>
      </c>
      <c r="M287" s="104">
        <v>0</v>
      </c>
      <c r="N287" s="104">
        <v>0</v>
      </c>
      <c r="O287" s="104">
        <f t="shared" si="40"/>
        <v>2.6099662161425141</v>
      </c>
      <c r="P287" s="104">
        <f t="shared" si="34"/>
        <v>0</v>
      </c>
      <c r="Q287" s="105">
        <f t="shared" si="41"/>
        <v>-2.6099662161425141</v>
      </c>
      <c r="R287" s="105">
        <f t="shared" si="41"/>
        <v>0</v>
      </c>
      <c r="S287" s="104">
        <f t="shared" si="42"/>
        <v>0</v>
      </c>
      <c r="T287" s="104">
        <f t="shared" si="43"/>
        <v>0</v>
      </c>
      <c r="U287" s="104">
        <f t="shared" si="36"/>
        <v>0</v>
      </c>
      <c r="V287" s="103">
        <f t="shared" si="44"/>
        <v>0</v>
      </c>
      <c r="W287" s="103">
        <f t="shared" si="45"/>
        <v>0</v>
      </c>
      <c r="X287" s="103">
        <f t="shared" si="46"/>
        <v>0</v>
      </c>
      <c r="Z287" s="102"/>
      <c r="AA287" s="102"/>
    </row>
    <row r="288" spans="1:27" x14ac:dyDescent="0.25">
      <c r="A288" s="530"/>
      <c r="B288" s="96">
        <v>82</v>
      </c>
      <c r="C288" s="110">
        <v>0</v>
      </c>
      <c r="D288" s="110">
        <f t="shared" si="47"/>
        <v>2760.7739999999999</v>
      </c>
      <c r="E288" s="109">
        <f t="shared" si="37"/>
        <v>0</v>
      </c>
      <c r="F288" s="108">
        <v>0</v>
      </c>
      <c r="G288" s="108">
        <v>0</v>
      </c>
      <c r="H288" s="107">
        <v>0</v>
      </c>
      <c r="I288" s="106">
        <f t="shared" si="38"/>
        <v>0</v>
      </c>
      <c r="J288" s="104">
        <f t="shared" si="38"/>
        <v>0</v>
      </c>
      <c r="K288" s="104">
        <f t="shared" si="39"/>
        <v>0</v>
      </c>
      <c r="L288" s="102">
        <v>0</v>
      </c>
      <c r="M288" s="104">
        <v>0</v>
      </c>
      <c r="N288" s="104">
        <v>0</v>
      </c>
      <c r="O288" s="104">
        <f t="shared" si="40"/>
        <v>2.6099662161425141</v>
      </c>
      <c r="P288" s="104">
        <f t="shared" si="34"/>
        <v>0</v>
      </c>
      <c r="Q288" s="105">
        <f t="shared" si="41"/>
        <v>-2.6099662161425141</v>
      </c>
      <c r="R288" s="105">
        <f t="shared" si="41"/>
        <v>0</v>
      </c>
      <c r="S288" s="104">
        <f t="shared" si="42"/>
        <v>0</v>
      </c>
      <c r="T288" s="104">
        <f t="shared" si="43"/>
        <v>0</v>
      </c>
      <c r="U288" s="104">
        <f t="shared" si="36"/>
        <v>0</v>
      </c>
      <c r="V288" s="103">
        <f t="shared" si="44"/>
        <v>0</v>
      </c>
      <c r="W288" s="103">
        <f t="shared" si="45"/>
        <v>0</v>
      </c>
      <c r="X288" s="103">
        <f t="shared" si="46"/>
        <v>0</v>
      </c>
      <c r="Z288" s="102"/>
      <c r="AA288" s="102"/>
    </row>
    <row r="289" spans="1:27" x14ac:dyDescent="0.25">
      <c r="A289" s="530"/>
      <c r="B289" s="96">
        <v>83</v>
      </c>
      <c r="C289" s="110">
        <v>0</v>
      </c>
      <c r="D289" s="110">
        <f t="shared" si="47"/>
        <v>2760.7739999999999</v>
      </c>
      <c r="E289" s="109">
        <f t="shared" si="37"/>
        <v>0</v>
      </c>
      <c r="F289" s="108">
        <v>0</v>
      </c>
      <c r="G289" s="108">
        <v>0</v>
      </c>
      <c r="H289" s="107">
        <v>0</v>
      </c>
      <c r="I289" s="106">
        <f t="shared" si="38"/>
        <v>0</v>
      </c>
      <c r="J289" s="104">
        <f t="shared" si="38"/>
        <v>0</v>
      </c>
      <c r="K289" s="104">
        <f t="shared" si="39"/>
        <v>0</v>
      </c>
      <c r="L289" s="102">
        <v>0</v>
      </c>
      <c r="M289" s="104">
        <v>0</v>
      </c>
      <c r="N289" s="104">
        <v>0</v>
      </c>
      <c r="O289" s="104">
        <f t="shared" si="40"/>
        <v>2.6099662161425141</v>
      </c>
      <c r="P289" s="104">
        <f t="shared" si="34"/>
        <v>0</v>
      </c>
      <c r="Q289" s="105">
        <f t="shared" si="41"/>
        <v>-2.6099662161425141</v>
      </c>
      <c r="R289" s="105">
        <f t="shared" si="41"/>
        <v>0</v>
      </c>
      <c r="S289" s="104">
        <f t="shared" si="42"/>
        <v>0</v>
      </c>
      <c r="T289" s="104">
        <f t="shared" si="43"/>
        <v>0</v>
      </c>
      <c r="U289" s="104">
        <f t="shared" si="36"/>
        <v>0</v>
      </c>
      <c r="V289" s="103">
        <f t="shared" si="44"/>
        <v>0</v>
      </c>
      <c r="W289" s="103">
        <f t="shared" si="45"/>
        <v>0</v>
      </c>
      <c r="X289" s="103">
        <f t="shared" si="46"/>
        <v>0</v>
      </c>
      <c r="Z289" s="102"/>
      <c r="AA289" s="102"/>
    </row>
    <row r="290" spans="1:27" x14ac:dyDescent="0.25">
      <c r="A290" s="530"/>
      <c r="B290" s="96">
        <v>84</v>
      </c>
      <c r="C290" s="110">
        <v>0</v>
      </c>
      <c r="D290" s="110">
        <f t="shared" si="47"/>
        <v>2760.7739999999999</v>
      </c>
      <c r="E290" s="109">
        <f t="shared" si="37"/>
        <v>0</v>
      </c>
      <c r="F290" s="108">
        <v>0</v>
      </c>
      <c r="G290" s="108">
        <v>0</v>
      </c>
      <c r="H290" s="107">
        <v>0</v>
      </c>
      <c r="I290" s="106">
        <f t="shared" si="38"/>
        <v>0</v>
      </c>
      <c r="J290" s="104">
        <f t="shared" si="38"/>
        <v>0</v>
      </c>
      <c r="K290" s="104">
        <f t="shared" si="39"/>
        <v>0</v>
      </c>
      <c r="L290" s="102">
        <v>0</v>
      </c>
      <c r="M290" s="104">
        <v>0</v>
      </c>
      <c r="N290" s="104">
        <v>0</v>
      </c>
      <c r="O290" s="104">
        <f t="shared" si="40"/>
        <v>2.6099662161425141</v>
      </c>
      <c r="P290" s="104">
        <f t="shared" si="34"/>
        <v>0</v>
      </c>
      <c r="Q290" s="105">
        <f t="shared" si="41"/>
        <v>-2.6099662161425141</v>
      </c>
      <c r="R290" s="105">
        <f t="shared" si="41"/>
        <v>0</v>
      </c>
      <c r="S290" s="104">
        <f t="shared" si="42"/>
        <v>0</v>
      </c>
      <c r="T290" s="104">
        <f t="shared" si="43"/>
        <v>0</v>
      </c>
      <c r="U290" s="104">
        <f t="shared" si="36"/>
        <v>0</v>
      </c>
      <c r="V290" s="103">
        <f t="shared" si="44"/>
        <v>0</v>
      </c>
      <c r="W290" s="103">
        <f t="shared" si="45"/>
        <v>0</v>
      </c>
      <c r="X290" s="103">
        <f t="shared" si="46"/>
        <v>0</v>
      </c>
      <c r="Z290" s="102"/>
      <c r="AA290" s="102"/>
    </row>
    <row r="291" spans="1:27" x14ac:dyDescent="0.25">
      <c r="A291" s="530"/>
      <c r="B291" s="96">
        <v>85</v>
      </c>
      <c r="C291" s="110">
        <v>0</v>
      </c>
      <c r="D291" s="110">
        <f t="shared" si="47"/>
        <v>2760.7739999999999</v>
      </c>
      <c r="E291" s="109">
        <f t="shared" si="37"/>
        <v>0</v>
      </c>
      <c r="F291" s="108">
        <v>0</v>
      </c>
      <c r="G291" s="108">
        <v>0</v>
      </c>
      <c r="H291" s="107">
        <v>0</v>
      </c>
      <c r="I291" s="106">
        <f t="shared" si="38"/>
        <v>0</v>
      </c>
      <c r="J291" s="104">
        <f t="shared" si="38"/>
        <v>0</v>
      </c>
      <c r="K291" s="104">
        <f t="shared" si="39"/>
        <v>0</v>
      </c>
      <c r="L291" s="102">
        <v>0</v>
      </c>
      <c r="M291" s="104">
        <v>0</v>
      </c>
      <c r="N291" s="104">
        <v>0</v>
      </c>
      <c r="O291" s="104">
        <f t="shared" si="40"/>
        <v>2.6099662161425141</v>
      </c>
      <c r="P291" s="104">
        <f t="shared" si="34"/>
        <v>0</v>
      </c>
      <c r="Q291" s="105">
        <f t="shared" si="41"/>
        <v>-2.6099662161425141</v>
      </c>
      <c r="R291" s="105">
        <f t="shared" si="41"/>
        <v>0</v>
      </c>
      <c r="S291" s="104">
        <f t="shared" si="42"/>
        <v>0</v>
      </c>
      <c r="T291" s="104">
        <f t="shared" si="43"/>
        <v>0</v>
      </c>
      <c r="U291" s="104">
        <f t="shared" si="36"/>
        <v>0</v>
      </c>
      <c r="V291" s="103">
        <f t="shared" si="44"/>
        <v>0</v>
      </c>
      <c r="W291" s="103">
        <f t="shared" si="45"/>
        <v>0</v>
      </c>
      <c r="X291" s="103">
        <f t="shared" si="46"/>
        <v>0</v>
      </c>
      <c r="Z291" s="102"/>
      <c r="AA291" s="102"/>
    </row>
    <row r="292" spans="1:27" x14ac:dyDescent="0.25">
      <c r="A292" s="530"/>
      <c r="B292" s="96">
        <v>86</v>
      </c>
      <c r="C292" s="110">
        <v>0</v>
      </c>
      <c r="D292" s="110">
        <f t="shared" si="47"/>
        <v>2760.7739999999999</v>
      </c>
      <c r="E292" s="109">
        <f t="shared" si="37"/>
        <v>0</v>
      </c>
      <c r="F292" s="108">
        <v>0</v>
      </c>
      <c r="G292" s="108">
        <v>0</v>
      </c>
      <c r="H292" s="107">
        <v>0</v>
      </c>
      <c r="I292" s="106">
        <f t="shared" si="38"/>
        <v>0</v>
      </c>
      <c r="J292" s="104">
        <f t="shared" si="38"/>
        <v>0</v>
      </c>
      <c r="K292" s="104">
        <f t="shared" si="39"/>
        <v>0</v>
      </c>
      <c r="L292" s="102">
        <v>0</v>
      </c>
      <c r="M292" s="104">
        <v>0</v>
      </c>
      <c r="N292" s="104">
        <v>0</v>
      </c>
      <c r="O292" s="104">
        <f t="shared" si="40"/>
        <v>2.6099662161425141</v>
      </c>
      <c r="P292" s="104">
        <f t="shared" si="34"/>
        <v>0</v>
      </c>
      <c r="Q292" s="105">
        <f t="shared" si="41"/>
        <v>-2.6099662161425141</v>
      </c>
      <c r="R292" s="105">
        <f t="shared" si="41"/>
        <v>0</v>
      </c>
      <c r="S292" s="104">
        <f t="shared" si="42"/>
        <v>0</v>
      </c>
      <c r="T292" s="104">
        <f t="shared" si="43"/>
        <v>0</v>
      </c>
      <c r="U292" s="104">
        <f t="shared" si="36"/>
        <v>0</v>
      </c>
      <c r="V292" s="103">
        <f t="shared" si="44"/>
        <v>0</v>
      </c>
      <c r="W292" s="103">
        <f t="shared" si="45"/>
        <v>0</v>
      </c>
      <c r="X292" s="103">
        <f t="shared" si="46"/>
        <v>0</v>
      </c>
      <c r="Z292" s="102"/>
      <c r="AA292" s="102"/>
    </row>
    <row r="293" spans="1:27" x14ac:dyDescent="0.25">
      <c r="A293" s="530"/>
      <c r="B293" s="96">
        <v>87</v>
      </c>
      <c r="C293" s="110">
        <v>0</v>
      </c>
      <c r="D293" s="110">
        <f t="shared" si="47"/>
        <v>2760.7739999999999</v>
      </c>
      <c r="E293" s="109">
        <f t="shared" si="37"/>
        <v>0</v>
      </c>
      <c r="F293" s="108">
        <v>0</v>
      </c>
      <c r="G293" s="108">
        <v>0</v>
      </c>
      <c r="H293" s="107">
        <v>0</v>
      </c>
      <c r="I293" s="106">
        <f t="shared" si="38"/>
        <v>0</v>
      </c>
      <c r="J293" s="104">
        <f t="shared" si="38"/>
        <v>0</v>
      </c>
      <c r="K293" s="104">
        <f t="shared" si="39"/>
        <v>0</v>
      </c>
      <c r="L293" s="102">
        <v>0</v>
      </c>
      <c r="M293" s="104">
        <v>0</v>
      </c>
      <c r="N293" s="104">
        <v>0</v>
      </c>
      <c r="O293" s="104">
        <f t="shared" si="40"/>
        <v>2.6099662161425141</v>
      </c>
      <c r="P293" s="104">
        <f t="shared" si="34"/>
        <v>0</v>
      </c>
      <c r="Q293" s="105">
        <f t="shared" si="41"/>
        <v>-2.6099662161425141</v>
      </c>
      <c r="R293" s="105">
        <f t="shared" si="41"/>
        <v>0</v>
      </c>
      <c r="S293" s="104">
        <f t="shared" si="42"/>
        <v>0</v>
      </c>
      <c r="T293" s="104">
        <f t="shared" si="43"/>
        <v>0</v>
      </c>
      <c r="U293" s="104">
        <f t="shared" si="36"/>
        <v>0</v>
      </c>
      <c r="V293" s="103">
        <f t="shared" si="44"/>
        <v>0</v>
      </c>
      <c r="W293" s="103">
        <f t="shared" si="45"/>
        <v>0</v>
      </c>
      <c r="X293" s="103">
        <f t="shared" si="46"/>
        <v>0</v>
      </c>
      <c r="Z293" s="102"/>
      <c r="AA293" s="102"/>
    </row>
    <row r="294" spans="1:27" x14ac:dyDescent="0.25">
      <c r="A294" s="530"/>
      <c r="B294" s="96">
        <v>88</v>
      </c>
      <c r="C294" s="110">
        <v>0</v>
      </c>
      <c r="D294" s="110">
        <f t="shared" si="47"/>
        <v>2760.7739999999999</v>
      </c>
      <c r="E294" s="109">
        <f t="shared" si="37"/>
        <v>0</v>
      </c>
      <c r="F294" s="108">
        <v>0</v>
      </c>
      <c r="G294" s="108">
        <v>0</v>
      </c>
      <c r="H294" s="107">
        <v>0</v>
      </c>
      <c r="I294" s="106">
        <f t="shared" si="38"/>
        <v>0</v>
      </c>
      <c r="J294" s="104">
        <f t="shared" si="38"/>
        <v>0</v>
      </c>
      <c r="K294" s="104">
        <f t="shared" si="39"/>
        <v>0</v>
      </c>
      <c r="L294" s="102">
        <v>0</v>
      </c>
      <c r="M294" s="104">
        <v>0</v>
      </c>
      <c r="N294" s="104">
        <v>0</v>
      </c>
      <c r="O294" s="104">
        <f t="shared" si="40"/>
        <v>2.6099662161425141</v>
      </c>
      <c r="P294" s="104">
        <f t="shared" si="34"/>
        <v>0</v>
      </c>
      <c r="Q294" s="105">
        <f t="shared" si="41"/>
        <v>-2.6099662161425141</v>
      </c>
      <c r="R294" s="105">
        <f t="shared" si="41"/>
        <v>0</v>
      </c>
      <c r="S294" s="104">
        <f t="shared" si="42"/>
        <v>0</v>
      </c>
      <c r="T294" s="104">
        <f t="shared" si="43"/>
        <v>0</v>
      </c>
      <c r="U294" s="104">
        <f t="shared" si="36"/>
        <v>0</v>
      </c>
      <c r="V294" s="103">
        <f t="shared" si="44"/>
        <v>0</v>
      </c>
      <c r="W294" s="103">
        <f t="shared" si="45"/>
        <v>0</v>
      </c>
      <c r="X294" s="103">
        <f t="shared" si="46"/>
        <v>0</v>
      </c>
      <c r="Z294" s="102"/>
      <c r="AA294" s="102"/>
    </row>
    <row r="295" spans="1:27" x14ac:dyDescent="0.25">
      <c r="A295" s="530"/>
      <c r="B295" s="96">
        <v>89</v>
      </c>
      <c r="C295" s="110">
        <v>0</v>
      </c>
      <c r="D295" s="110">
        <f t="shared" si="47"/>
        <v>2760.7739999999999</v>
      </c>
      <c r="E295" s="109">
        <f t="shared" si="37"/>
        <v>0</v>
      </c>
      <c r="F295" s="108">
        <v>0</v>
      </c>
      <c r="G295" s="108">
        <v>0</v>
      </c>
      <c r="H295" s="107">
        <v>0</v>
      </c>
      <c r="I295" s="106">
        <f t="shared" si="38"/>
        <v>0</v>
      </c>
      <c r="J295" s="104">
        <f t="shared" si="38"/>
        <v>0</v>
      </c>
      <c r="K295" s="104">
        <f t="shared" si="39"/>
        <v>0</v>
      </c>
      <c r="L295" s="104">
        <v>0</v>
      </c>
      <c r="M295" s="104">
        <v>0</v>
      </c>
      <c r="N295" s="104">
        <v>0</v>
      </c>
      <c r="O295" s="104">
        <f t="shared" si="40"/>
        <v>2.6099662161425141</v>
      </c>
      <c r="P295" s="104">
        <f t="shared" si="34"/>
        <v>0</v>
      </c>
      <c r="Q295" s="105">
        <f t="shared" si="41"/>
        <v>-2.6099662161425141</v>
      </c>
      <c r="R295" s="105">
        <f t="shared" si="41"/>
        <v>0</v>
      </c>
      <c r="S295" s="104">
        <f t="shared" si="42"/>
        <v>0</v>
      </c>
      <c r="T295" s="104">
        <f t="shared" si="43"/>
        <v>0</v>
      </c>
      <c r="U295" s="104">
        <f t="shared" si="36"/>
        <v>0</v>
      </c>
      <c r="V295" s="103">
        <f t="shared" si="44"/>
        <v>0</v>
      </c>
      <c r="W295" s="103">
        <f t="shared" si="45"/>
        <v>0</v>
      </c>
      <c r="X295" s="103">
        <f t="shared" si="46"/>
        <v>0</v>
      </c>
      <c r="Z295" s="102"/>
      <c r="AA295" s="102"/>
    </row>
    <row r="296" spans="1:27" x14ac:dyDescent="0.25">
      <c r="A296" s="530"/>
      <c r="B296" s="96">
        <v>90</v>
      </c>
      <c r="C296" s="110">
        <v>0</v>
      </c>
      <c r="D296" s="110">
        <f t="shared" si="47"/>
        <v>2760.7739999999999</v>
      </c>
      <c r="E296" s="109">
        <f t="shared" si="37"/>
        <v>0</v>
      </c>
      <c r="F296" s="108">
        <v>0</v>
      </c>
      <c r="G296" s="108">
        <v>0</v>
      </c>
      <c r="H296" s="107">
        <v>0</v>
      </c>
      <c r="I296" s="106">
        <f t="shared" si="38"/>
        <v>0</v>
      </c>
      <c r="J296" s="104">
        <f t="shared" si="38"/>
        <v>0</v>
      </c>
      <c r="K296" s="104">
        <f t="shared" si="39"/>
        <v>0</v>
      </c>
      <c r="L296" s="104">
        <v>0</v>
      </c>
      <c r="M296" s="104">
        <v>0</v>
      </c>
      <c r="N296" s="104">
        <v>0</v>
      </c>
      <c r="O296" s="104">
        <f t="shared" si="40"/>
        <v>2.6099662161425141</v>
      </c>
      <c r="P296" s="104">
        <f t="shared" si="34"/>
        <v>0</v>
      </c>
      <c r="Q296" s="105">
        <f t="shared" si="41"/>
        <v>-2.6099662161425141</v>
      </c>
      <c r="R296" s="105">
        <f t="shared" si="41"/>
        <v>0</v>
      </c>
      <c r="S296" s="104">
        <f t="shared" si="42"/>
        <v>0</v>
      </c>
      <c r="T296" s="104">
        <f t="shared" si="43"/>
        <v>0</v>
      </c>
      <c r="U296" s="104">
        <f t="shared" si="36"/>
        <v>0</v>
      </c>
      <c r="V296" s="103">
        <f t="shared" si="44"/>
        <v>0</v>
      </c>
      <c r="W296" s="103">
        <f t="shared" si="45"/>
        <v>0</v>
      </c>
      <c r="X296" s="103">
        <f t="shared" si="46"/>
        <v>0</v>
      </c>
      <c r="Z296" s="102"/>
      <c r="AA296" s="102"/>
    </row>
    <row r="297" spans="1:27" x14ac:dyDescent="0.25">
      <c r="A297" s="530"/>
      <c r="B297" s="96">
        <v>91</v>
      </c>
      <c r="C297" s="110">
        <v>0</v>
      </c>
      <c r="D297" s="110">
        <f t="shared" si="47"/>
        <v>2760.7739999999999</v>
      </c>
      <c r="E297" s="109">
        <f t="shared" si="37"/>
        <v>0</v>
      </c>
      <c r="F297" s="108">
        <v>0</v>
      </c>
      <c r="G297" s="108">
        <v>0</v>
      </c>
      <c r="H297" s="107">
        <v>0</v>
      </c>
      <c r="I297" s="106">
        <f t="shared" si="38"/>
        <v>0</v>
      </c>
      <c r="J297" s="104">
        <f t="shared" si="38"/>
        <v>0</v>
      </c>
      <c r="K297" s="104">
        <f t="shared" si="39"/>
        <v>0</v>
      </c>
      <c r="L297" s="104">
        <v>0</v>
      </c>
      <c r="M297" s="104">
        <v>0</v>
      </c>
      <c r="N297" s="104">
        <v>0</v>
      </c>
      <c r="O297" s="104">
        <f t="shared" si="40"/>
        <v>2.6099662161425141</v>
      </c>
      <c r="P297" s="104">
        <f t="shared" si="34"/>
        <v>0</v>
      </c>
      <c r="Q297" s="105">
        <f t="shared" si="41"/>
        <v>-2.6099662161425141</v>
      </c>
      <c r="R297" s="105">
        <f t="shared" si="41"/>
        <v>0</v>
      </c>
      <c r="S297" s="104">
        <f t="shared" si="42"/>
        <v>0</v>
      </c>
      <c r="T297" s="104">
        <f t="shared" si="43"/>
        <v>0</v>
      </c>
      <c r="U297" s="104">
        <f t="shared" si="36"/>
        <v>0</v>
      </c>
      <c r="V297" s="103">
        <f t="shared" si="44"/>
        <v>0</v>
      </c>
      <c r="W297" s="103">
        <f t="shared" si="45"/>
        <v>0</v>
      </c>
      <c r="X297" s="103">
        <f t="shared" si="46"/>
        <v>0</v>
      </c>
      <c r="Z297" s="102"/>
      <c r="AA297" s="102"/>
    </row>
    <row r="298" spans="1:27" x14ac:dyDescent="0.25">
      <c r="A298" s="530"/>
      <c r="B298" s="96">
        <v>92</v>
      </c>
      <c r="C298" s="110">
        <v>0</v>
      </c>
      <c r="D298" s="110">
        <f t="shared" si="47"/>
        <v>2760.7739999999999</v>
      </c>
      <c r="E298" s="109">
        <f t="shared" si="37"/>
        <v>0</v>
      </c>
      <c r="F298" s="108">
        <v>0</v>
      </c>
      <c r="G298" s="108">
        <v>0</v>
      </c>
      <c r="H298" s="107">
        <v>0</v>
      </c>
      <c r="I298" s="106">
        <f t="shared" si="38"/>
        <v>0</v>
      </c>
      <c r="J298" s="104">
        <f t="shared" si="38"/>
        <v>0</v>
      </c>
      <c r="K298" s="104">
        <f t="shared" si="39"/>
        <v>0</v>
      </c>
      <c r="L298" s="104">
        <v>0</v>
      </c>
      <c r="M298" s="104">
        <v>0</v>
      </c>
      <c r="N298" s="104">
        <v>0</v>
      </c>
      <c r="O298" s="104">
        <f t="shared" si="40"/>
        <v>2.6099662161425141</v>
      </c>
      <c r="P298" s="104">
        <f t="shared" si="34"/>
        <v>0</v>
      </c>
      <c r="Q298" s="105">
        <f t="shared" si="41"/>
        <v>-2.6099662161425141</v>
      </c>
      <c r="R298" s="105">
        <f t="shared" si="41"/>
        <v>0</v>
      </c>
      <c r="S298" s="104">
        <f t="shared" si="42"/>
        <v>0</v>
      </c>
      <c r="T298" s="104">
        <f t="shared" si="43"/>
        <v>0</v>
      </c>
      <c r="U298" s="104">
        <f t="shared" si="36"/>
        <v>0</v>
      </c>
      <c r="V298" s="103">
        <f t="shared" si="44"/>
        <v>0</v>
      </c>
      <c r="W298" s="103">
        <f t="shared" si="45"/>
        <v>0</v>
      </c>
      <c r="X298" s="103">
        <f t="shared" si="46"/>
        <v>0</v>
      </c>
      <c r="Z298" s="102"/>
      <c r="AA298" s="102"/>
    </row>
    <row r="299" spans="1:27" x14ac:dyDescent="0.25">
      <c r="A299" s="530"/>
      <c r="B299" s="96">
        <v>93</v>
      </c>
      <c r="C299" s="110">
        <v>0</v>
      </c>
      <c r="D299" s="110">
        <f t="shared" si="47"/>
        <v>2760.7739999999999</v>
      </c>
      <c r="E299" s="109">
        <f t="shared" si="37"/>
        <v>0</v>
      </c>
      <c r="F299" s="108">
        <v>0</v>
      </c>
      <c r="G299" s="108">
        <v>0</v>
      </c>
      <c r="H299" s="107">
        <v>0</v>
      </c>
      <c r="I299" s="106">
        <f t="shared" si="38"/>
        <v>0</v>
      </c>
      <c r="J299" s="104">
        <f t="shared" si="38"/>
        <v>0</v>
      </c>
      <c r="K299" s="104">
        <f t="shared" si="39"/>
        <v>0</v>
      </c>
      <c r="L299" s="104">
        <v>0</v>
      </c>
      <c r="M299" s="104">
        <v>0</v>
      </c>
      <c r="N299" s="104">
        <v>0</v>
      </c>
      <c r="O299" s="104">
        <f t="shared" si="40"/>
        <v>2.6099662161425141</v>
      </c>
      <c r="P299" s="104">
        <f t="shared" si="34"/>
        <v>0</v>
      </c>
      <c r="Q299" s="105">
        <f t="shared" si="41"/>
        <v>-2.6099662161425141</v>
      </c>
      <c r="R299" s="105">
        <f t="shared" si="41"/>
        <v>0</v>
      </c>
      <c r="S299" s="104">
        <f t="shared" si="42"/>
        <v>0</v>
      </c>
      <c r="T299" s="104">
        <f t="shared" si="43"/>
        <v>0</v>
      </c>
      <c r="U299" s="104">
        <f t="shared" si="36"/>
        <v>0</v>
      </c>
      <c r="V299" s="103">
        <f t="shared" si="44"/>
        <v>0</v>
      </c>
      <c r="W299" s="103">
        <f t="shared" si="45"/>
        <v>0</v>
      </c>
      <c r="X299" s="103">
        <f t="shared" si="46"/>
        <v>0</v>
      </c>
      <c r="Z299" s="102"/>
      <c r="AA299" s="102"/>
    </row>
    <row r="300" spans="1:27" x14ac:dyDescent="0.25">
      <c r="A300" s="530"/>
      <c r="B300" s="96">
        <v>94</v>
      </c>
      <c r="C300" s="110">
        <v>0</v>
      </c>
      <c r="D300" s="110">
        <f t="shared" si="47"/>
        <v>2760.7739999999999</v>
      </c>
      <c r="E300" s="109">
        <f t="shared" si="37"/>
        <v>0</v>
      </c>
      <c r="F300" s="108">
        <v>0</v>
      </c>
      <c r="G300" s="108">
        <v>0</v>
      </c>
      <c r="H300" s="107">
        <v>0</v>
      </c>
      <c r="I300" s="106">
        <f t="shared" si="38"/>
        <v>0</v>
      </c>
      <c r="J300" s="104">
        <f t="shared" si="38"/>
        <v>0</v>
      </c>
      <c r="K300" s="104">
        <f t="shared" si="39"/>
        <v>0</v>
      </c>
      <c r="L300" s="104">
        <v>0</v>
      </c>
      <c r="M300" s="104">
        <v>0</v>
      </c>
      <c r="N300" s="104">
        <v>0</v>
      </c>
      <c r="O300" s="104">
        <f t="shared" si="40"/>
        <v>2.6099662161425141</v>
      </c>
      <c r="P300" s="104">
        <f t="shared" si="34"/>
        <v>0</v>
      </c>
      <c r="Q300" s="105">
        <f t="shared" si="41"/>
        <v>-2.6099662161425141</v>
      </c>
      <c r="R300" s="105">
        <f t="shared" si="41"/>
        <v>0</v>
      </c>
      <c r="S300" s="104">
        <f t="shared" si="42"/>
        <v>0</v>
      </c>
      <c r="T300" s="104">
        <f t="shared" si="43"/>
        <v>0</v>
      </c>
      <c r="U300" s="104">
        <f t="shared" si="36"/>
        <v>0</v>
      </c>
      <c r="V300" s="103">
        <f t="shared" si="44"/>
        <v>0</v>
      </c>
      <c r="W300" s="103">
        <f t="shared" si="45"/>
        <v>0</v>
      </c>
      <c r="X300" s="103">
        <f t="shared" si="46"/>
        <v>0</v>
      </c>
      <c r="Z300" s="102"/>
      <c r="AA300" s="102"/>
    </row>
    <row r="301" spans="1:27" x14ac:dyDescent="0.25">
      <c r="A301" s="530"/>
      <c r="B301" s="96">
        <v>95</v>
      </c>
      <c r="C301" s="110">
        <v>0</v>
      </c>
      <c r="D301" s="110">
        <f t="shared" si="47"/>
        <v>2760.7739999999999</v>
      </c>
      <c r="E301" s="109">
        <f t="shared" si="37"/>
        <v>0</v>
      </c>
      <c r="F301" s="108">
        <v>0</v>
      </c>
      <c r="G301" s="108">
        <v>0</v>
      </c>
      <c r="H301" s="107">
        <v>0</v>
      </c>
      <c r="I301" s="106">
        <f t="shared" si="38"/>
        <v>0</v>
      </c>
      <c r="J301" s="104">
        <f t="shared" si="38"/>
        <v>0</v>
      </c>
      <c r="K301" s="104">
        <f t="shared" si="39"/>
        <v>0</v>
      </c>
      <c r="L301" s="104">
        <v>0</v>
      </c>
      <c r="M301" s="104">
        <v>0</v>
      </c>
      <c r="N301" s="104">
        <v>0</v>
      </c>
      <c r="O301" s="104">
        <f t="shared" si="40"/>
        <v>2.6099662161425141</v>
      </c>
      <c r="P301" s="104">
        <f t="shared" si="34"/>
        <v>0</v>
      </c>
      <c r="Q301" s="105">
        <f t="shared" si="41"/>
        <v>-2.6099662161425141</v>
      </c>
      <c r="R301" s="105">
        <f t="shared" si="41"/>
        <v>0</v>
      </c>
      <c r="S301" s="104">
        <f t="shared" si="42"/>
        <v>0</v>
      </c>
      <c r="T301" s="104">
        <f t="shared" si="43"/>
        <v>0</v>
      </c>
      <c r="U301" s="104">
        <f t="shared" si="36"/>
        <v>0</v>
      </c>
      <c r="V301" s="103">
        <f t="shared" si="44"/>
        <v>0</v>
      </c>
      <c r="W301" s="103">
        <f t="shared" si="45"/>
        <v>0</v>
      </c>
      <c r="X301" s="103">
        <f t="shared" si="46"/>
        <v>0</v>
      </c>
      <c r="Z301" s="102"/>
      <c r="AA301" s="102"/>
    </row>
    <row r="302" spans="1:27" x14ac:dyDescent="0.25">
      <c r="B302" s="339"/>
      <c r="C302" s="101"/>
      <c r="D302" s="101"/>
      <c r="E302" s="101"/>
      <c r="F302" s="101"/>
      <c r="G302" s="101"/>
      <c r="H302" s="101"/>
      <c r="I302" s="100"/>
      <c r="J302" s="99"/>
      <c r="K302" s="99"/>
      <c r="L302" s="98"/>
      <c r="M302" s="98"/>
      <c r="N302" s="98"/>
      <c r="O302" s="98"/>
      <c r="P302" s="98"/>
      <c r="Q302" s="98"/>
      <c r="R302" s="98"/>
      <c r="S302" s="98"/>
      <c r="T302" s="98"/>
      <c r="U302" s="98"/>
      <c r="V302" s="97"/>
      <c r="W302" s="97"/>
      <c r="X302" s="97"/>
    </row>
    <row r="303" spans="1:27" x14ac:dyDescent="0.25">
      <c r="B303" s="339"/>
      <c r="C303" s="101"/>
      <c r="D303" s="101"/>
      <c r="E303" s="101"/>
      <c r="F303" s="101"/>
      <c r="G303" s="101"/>
      <c r="H303" s="100"/>
      <c r="I303" s="100"/>
      <c r="J303" s="99"/>
      <c r="K303" s="99"/>
      <c r="L303" s="98"/>
      <c r="M303" s="98"/>
      <c r="N303" s="98"/>
      <c r="O303" s="98"/>
      <c r="P303" s="98"/>
      <c r="Q303" s="98"/>
      <c r="R303" s="98"/>
      <c r="S303" s="98"/>
      <c r="T303" s="98"/>
      <c r="U303" s="98"/>
      <c r="V303" s="97"/>
      <c r="W303" s="97"/>
      <c r="X303" s="97"/>
    </row>
    <row r="304" spans="1:27" x14ac:dyDescent="0.25">
      <c r="B304" s="95" t="s">
        <v>1874</v>
      </c>
      <c r="C304" s="339"/>
      <c r="D304" s="339"/>
      <c r="E304" s="339"/>
      <c r="F304" s="339"/>
      <c r="G304" s="339"/>
      <c r="H304" s="96"/>
      <c r="I304" s="94">
        <f>SUM(I207:I303)</f>
        <v>1.4949723566267938</v>
      </c>
      <c r="J304" s="94">
        <f>SUM(J207:J303)</f>
        <v>3.9018273448628906</v>
      </c>
      <c r="K304" s="94">
        <f>SUM(K207:K303)</f>
        <v>0</v>
      </c>
      <c r="L304" s="339"/>
      <c r="M304" s="339"/>
      <c r="N304" s="339" t="s">
        <v>2064</v>
      </c>
      <c r="O304" s="339"/>
      <c r="P304" s="339" t="s">
        <v>2065</v>
      </c>
      <c r="Q304" s="339"/>
      <c r="R304" s="339"/>
      <c r="S304" s="339"/>
      <c r="T304" s="339"/>
      <c r="U304" s="95" t="s">
        <v>1874</v>
      </c>
      <c r="V304" s="94">
        <f>SUM(V207:V303)</f>
        <v>1.095172778445015E-2</v>
      </c>
      <c r="W304" s="94">
        <f>SUM(W207:W303)</f>
        <v>3.0244876463070947</v>
      </c>
      <c r="X304" s="93">
        <f>SUM(X207:X303)</f>
        <v>0</v>
      </c>
    </row>
    <row r="305" spans="1:24" x14ac:dyDescent="0.25">
      <c r="B305" s="339"/>
      <c r="C305" s="339"/>
      <c r="D305" s="339"/>
      <c r="E305" s="339"/>
      <c r="F305" s="339"/>
      <c r="G305" s="339"/>
      <c r="H305" s="339"/>
      <c r="I305" s="339"/>
      <c r="J305" s="339"/>
      <c r="K305" s="339"/>
      <c r="L305" s="339"/>
      <c r="M305" s="339"/>
      <c r="N305" s="339">
        <v>3.0000000000000001E-3</v>
      </c>
      <c r="O305" s="339"/>
      <c r="P305" s="339">
        <v>3.0000000000000001E-3</v>
      </c>
      <c r="Q305" s="339"/>
      <c r="R305" s="339"/>
      <c r="S305" s="339"/>
      <c r="T305" s="339"/>
      <c r="U305" s="339"/>
      <c r="V305" s="85" t="s">
        <v>1873</v>
      </c>
      <c r="W305" s="85" t="s">
        <v>1872</v>
      </c>
      <c r="X305" s="85" t="s">
        <v>1871</v>
      </c>
    </row>
    <row r="306" spans="1:24" x14ac:dyDescent="0.25">
      <c r="K306" s="89"/>
      <c r="L306" s="89"/>
      <c r="N306" s="91"/>
    </row>
    <row r="307" spans="1:24" x14ac:dyDescent="0.25">
      <c r="B307" s="521" t="s">
        <v>1870</v>
      </c>
      <c r="C307" s="521"/>
      <c r="D307" s="521"/>
      <c r="E307" s="521"/>
      <c r="F307" s="521"/>
      <c r="G307" s="521"/>
      <c r="H307" s="84">
        <f>J304/I304</f>
        <v>2.6099662161425141</v>
      </c>
      <c r="I307" s="84"/>
      <c r="J307" s="84"/>
      <c r="K307" s="235"/>
      <c r="L307" s="235"/>
      <c r="U307" s="85" t="s">
        <v>1869</v>
      </c>
      <c r="V307" s="90">
        <f>W304*V304-(X304^2)</f>
        <v>3.3123365389787648E-2</v>
      </c>
    </row>
    <row r="308" spans="1:24" x14ac:dyDescent="0.25">
      <c r="K308" s="89"/>
      <c r="L308" s="89"/>
    </row>
    <row r="309" spans="1:24" x14ac:dyDescent="0.25">
      <c r="B309" s="521" t="s">
        <v>1868</v>
      </c>
      <c r="C309" s="521"/>
      <c r="D309" s="521"/>
      <c r="E309" s="521"/>
      <c r="F309" s="521"/>
      <c r="G309" s="521"/>
      <c r="H309" s="84">
        <f>K304/I304</f>
        <v>0</v>
      </c>
      <c r="I309" s="84"/>
      <c r="J309" s="84"/>
      <c r="K309" s="235"/>
      <c r="L309" s="235"/>
      <c r="U309" s="85" t="s">
        <v>1867</v>
      </c>
      <c r="V309" s="474">
        <f>W304/(D225*V307)</f>
        <v>3.307398333757039E-2</v>
      </c>
    </row>
    <row r="310" spans="1:24" x14ac:dyDescent="0.25">
      <c r="K310" s="235"/>
      <c r="L310" s="89"/>
    </row>
    <row r="311" spans="1:24" x14ac:dyDescent="0.25">
      <c r="D311" s="85"/>
      <c r="E311" s="84"/>
      <c r="F311" s="84"/>
      <c r="O311" s="89"/>
      <c r="P311" s="89"/>
    </row>
    <row r="312" spans="1:24" x14ac:dyDescent="0.25">
      <c r="D312" s="85"/>
      <c r="E312" s="84"/>
      <c r="F312" s="84"/>
      <c r="K312" s="89"/>
      <c r="O312" s="236"/>
      <c r="P312" s="89"/>
    </row>
    <row r="313" spans="1:24" s="231" customFormat="1" ht="15.75" thickBot="1" x14ac:dyDescent="0.3">
      <c r="D313" s="511"/>
      <c r="E313" s="512"/>
      <c r="F313" s="512"/>
      <c r="O313" s="513"/>
      <c r="P313" s="195"/>
    </row>
    <row r="314" spans="1:24" x14ac:dyDescent="0.25">
      <c r="A314" s="474" t="s">
        <v>2329</v>
      </c>
      <c r="D314" s="85"/>
      <c r="E314" s="84"/>
      <c r="F314" s="84"/>
      <c r="I314" s="87"/>
      <c r="O314" s="89"/>
      <c r="P314" s="89"/>
    </row>
    <row r="315" spans="1:24" x14ac:dyDescent="0.25">
      <c r="C315" s="474" t="s">
        <v>1866</v>
      </c>
      <c r="D315" s="86">
        <f>B318</f>
        <v>0</v>
      </c>
      <c r="E315" s="84"/>
      <c r="F315" s="84"/>
      <c r="O315" s="89"/>
      <c r="P315" s="89"/>
    </row>
    <row r="316" spans="1:24" x14ac:dyDescent="0.25">
      <c r="D316" s="85"/>
      <c r="E316" s="84"/>
      <c r="F316" s="84"/>
    </row>
    <row r="317" spans="1:24" x14ac:dyDescent="0.25">
      <c r="B317" s="474" t="s">
        <v>1837</v>
      </c>
      <c r="C317" s="474" t="s">
        <v>1838</v>
      </c>
      <c r="D317" s="474" t="s">
        <v>1864</v>
      </c>
      <c r="E317" s="474" t="s">
        <v>1863</v>
      </c>
      <c r="F317" s="474" t="s">
        <v>1862</v>
      </c>
      <c r="G317" s="474" t="s">
        <v>1861</v>
      </c>
      <c r="H317" s="474" t="s">
        <v>1860</v>
      </c>
      <c r="I317" s="474" t="s">
        <v>1859</v>
      </c>
      <c r="J317" s="474" t="s">
        <v>2324</v>
      </c>
      <c r="K317" s="474" t="s">
        <v>2325</v>
      </c>
      <c r="L317" s="474" t="s">
        <v>1858</v>
      </c>
      <c r="M317" s="474" t="s">
        <v>2326</v>
      </c>
      <c r="N317" s="474" t="s">
        <v>2327</v>
      </c>
    </row>
    <row r="318" spans="1:24" x14ac:dyDescent="0.25">
      <c r="B318" s="505">
        <v>0</v>
      </c>
      <c r="C318" s="508">
        <f>MAX($AN$4:$AN$21)</f>
        <v>0.17695218260859913</v>
      </c>
      <c r="D318" s="508">
        <f>INDEX($AM$4:$AN$21,MATCH(C318,$AN$4:$AN$21,0),1)</f>
        <v>1.7689321820253163</v>
      </c>
      <c r="E318" s="505">
        <f>E228</f>
        <v>1</v>
      </c>
      <c r="F318" s="508">
        <f t="shared" ref="F318:F361" si="48">$W$304</f>
        <v>3.0244876463070947</v>
      </c>
      <c r="G318" s="508">
        <f t="shared" ref="G318:G361" si="49">$V$304</f>
        <v>1.095172778445015E-2</v>
      </c>
      <c r="H318" s="508">
        <f t="shared" ref="H318:H361" si="50">$V$307</f>
        <v>3.3123365389787648E-2</v>
      </c>
      <c r="I318" s="508">
        <f t="shared" ref="I318:I361" si="51">$X$304</f>
        <v>0</v>
      </c>
      <c r="J318" s="509">
        <v>0</v>
      </c>
      <c r="K318" s="509">
        <f>$E$144+((($J$47*B318^6)/(6*5))+(($K$47*B318^5)/(5*4))+(($L$47*B318^4)/(4*3))+(($M$47*B318^3)/(3*2))+($N$47*B318^2)/(2))-$E$117*B318</f>
        <v>1.7843766218144291E-2</v>
      </c>
      <c r="L318" s="509">
        <f>-(C318*E318*((K318*F318)+(J318*I318))/H318)+(D318*E318*(J318*G318+(K318*I318))/H318)</f>
        <v>-0.28831006763530037</v>
      </c>
      <c r="M318" s="474">
        <f>(Wing!C183/MAX(L318:L361))</f>
        <v>138.73951863033187</v>
      </c>
      <c r="N318" s="474">
        <f>(Wing!C190/MIN(L318:L361))</f>
        <v>-104.0546389727489</v>
      </c>
    </row>
    <row r="319" spans="1:24" x14ac:dyDescent="0.25">
      <c r="B319" s="505">
        <f>B318+$F$44/21</f>
        <v>0.21058716452682336</v>
      </c>
      <c r="C319" s="508">
        <f t="shared" ref="C319:C339" si="52">MAX($AN$4:$AN$21)</f>
        <v>0.17695218260859913</v>
      </c>
      <c r="D319" s="508">
        <f t="shared" ref="D319:D339" si="53">INDEX($AM$4:$AN$21,MATCH(C319,$AN$4:$AN$21,0),1)</f>
        <v>1.7689321820253163</v>
      </c>
      <c r="E319" s="505">
        <f t="shared" ref="E319:E334" si="54">E229</f>
        <v>1</v>
      </c>
      <c r="F319" s="508">
        <f t="shared" si="48"/>
        <v>3.0244876463070947</v>
      </c>
      <c r="G319" s="508">
        <f t="shared" si="49"/>
        <v>1.095172778445015E-2</v>
      </c>
      <c r="H319" s="508">
        <f t="shared" si="50"/>
        <v>3.3123365389787648E-2</v>
      </c>
      <c r="I319" s="508">
        <f t="shared" si="51"/>
        <v>0</v>
      </c>
      <c r="J319" s="509">
        <v>0</v>
      </c>
      <c r="K319" s="509">
        <f t="shared" ref="K319:K360" si="55">$E$144+((($J$47*B319^6)/(6*5))+(($K$47*B319^5)/(5*4))+(($L$47*B319^4)/(4*3))+(($M$47*B319^3)/(3*2))+($N$47*B319^2)/(2))-$E$117*B319</f>
        <v>1.6212039697646057E-2</v>
      </c>
      <c r="L319" s="509">
        <f t="shared" ref="L319:L361" si="56">-(C319*E319*((K319*F319)+(J319*I319))/H319)+(D319*E319*(J319*G319+(K319*I319))/H319)</f>
        <v>-0.26194549987892651</v>
      </c>
    </row>
    <row r="320" spans="1:24" x14ac:dyDescent="0.25">
      <c r="B320" s="505">
        <f t="shared" ref="B320:B339" si="57">B319+$F$44/21</f>
        <v>0.42117432905364671</v>
      </c>
      <c r="C320" s="508">
        <f t="shared" si="52"/>
        <v>0.17695218260859913</v>
      </c>
      <c r="D320" s="508">
        <f t="shared" si="53"/>
        <v>1.7689321820253163</v>
      </c>
      <c r="E320" s="505">
        <f t="shared" si="54"/>
        <v>1</v>
      </c>
      <c r="F320" s="508">
        <f t="shared" si="48"/>
        <v>3.0244876463070947</v>
      </c>
      <c r="G320" s="508">
        <f t="shared" si="49"/>
        <v>1.095172778445015E-2</v>
      </c>
      <c r="H320" s="508">
        <f t="shared" si="50"/>
        <v>3.3123365389787648E-2</v>
      </c>
      <c r="I320" s="508">
        <f t="shared" si="51"/>
        <v>0</v>
      </c>
      <c r="J320" s="509">
        <v>0</v>
      </c>
      <c r="K320" s="509">
        <f t="shared" si="55"/>
        <v>1.4656343856548848E-2</v>
      </c>
      <c r="L320" s="509">
        <f t="shared" si="56"/>
        <v>-0.23680939533219614</v>
      </c>
    </row>
    <row r="321" spans="2:19" x14ac:dyDescent="0.25">
      <c r="B321" s="505">
        <f t="shared" si="57"/>
        <v>0.63176149358047007</v>
      </c>
      <c r="C321" s="508">
        <f t="shared" si="52"/>
        <v>0.17695218260859913</v>
      </c>
      <c r="D321" s="508">
        <f t="shared" si="53"/>
        <v>1.7689321820253163</v>
      </c>
      <c r="E321" s="505">
        <f t="shared" si="54"/>
        <v>1</v>
      </c>
      <c r="F321" s="508">
        <f t="shared" si="48"/>
        <v>3.0244876463070947</v>
      </c>
      <c r="G321" s="508">
        <f t="shared" si="49"/>
        <v>1.095172778445015E-2</v>
      </c>
      <c r="H321" s="508">
        <f t="shared" si="50"/>
        <v>3.3123365389787648E-2</v>
      </c>
      <c r="I321" s="508">
        <f t="shared" si="51"/>
        <v>0</v>
      </c>
      <c r="J321" s="509">
        <v>0</v>
      </c>
      <c r="K321" s="509">
        <f t="shared" si="55"/>
        <v>1.3177073517897485E-2</v>
      </c>
      <c r="L321" s="509">
        <f t="shared" si="56"/>
        <v>-0.21290813333551084</v>
      </c>
    </row>
    <row r="322" spans="2:19" x14ac:dyDescent="0.25">
      <c r="B322" s="505">
        <f t="shared" si="57"/>
        <v>0.84234865810729342</v>
      </c>
      <c r="C322" s="508">
        <f t="shared" si="52"/>
        <v>0.17695218260859913</v>
      </c>
      <c r="D322" s="508">
        <f t="shared" si="53"/>
        <v>1.7689321820253163</v>
      </c>
      <c r="E322" s="505">
        <f t="shared" si="54"/>
        <v>1</v>
      </c>
      <c r="F322" s="508">
        <f t="shared" si="48"/>
        <v>3.0244876463070947</v>
      </c>
      <c r="G322" s="508">
        <f t="shared" si="49"/>
        <v>1.095172778445015E-2</v>
      </c>
      <c r="H322" s="508">
        <f t="shared" si="50"/>
        <v>3.3123365389787648E-2</v>
      </c>
      <c r="I322" s="508">
        <f t="shared" si="51"/>
        <v>0</v>
      </c>
      <c r="J322" s="509">
        <v>0</v>
      </c>
      <c r="K322" s="509">
        <f t="shared" si="55"/>
        <v>1.1774446919040015E-2</v>
      </c>
      <c r="L322" s="509">
        <f t="shared" si="56"/>
        <v>-0.19024524005166663</v>
      </c>
    </row>
    <row r="323" spans="2:19" ht="15.75" thickBot="1" x14ac:dyDescent="0.3">
      <c r="B323" s="505">
        <f t="shared" si="57"/>
        <v>1.0529358226341168</v>
      </c>
      <c r="C323" s="508">
        <f t="shared" si="52"/>
        <v>0.17695218260859913</v>
      </c>
      <c r="D323" s="508">
        <f t="shared" si="53"/>
        <v>1.7689321820253163</v>
      </c>
      <c r="E323" s="505">
        <f t="shared" si="54"/>
        <v>1</v>
      </c>
      <c r="F323" s="508">
        <f t="shared" si="48"/>
        <v>3.0244876463070947</v>
      </c>
      <c r="G323" s="508">
        <f t="shared" si="49"/>
        <v>1.095172778445015E-2</v>
      </c>
      <c r="H323" s="508">
        <f t="shared" si="50"/>
        <v>3.3123365389787648E-2</v>
      </c>
      <c r="I323" s="508">
        <f t="shared" si="51"/>
        <v>0</v>
      </c>
      <c r="J323" s="509">
        <v>0</v>
      </c>
      <c r="K323" s="509">
        <f t="shared" si="55"/>
        <v>1.0448593326831615E-2</v>
      </c>
      <c r="L323" s="509">
        <f t="shared" si="56"/>
        <v>-0.16882280410563777</v>
      </c>
      <c r="Q323" s="474" t="s">
        <v>1855</v>
      </c>
    </row>
    <row r="324" spans="2:19" x14ac:dyDescent="0.25">
      <c r="B324" s="505">
        <f t="shared" si="57"/>
        <v>1.2635229871609401</v>
      </c>
      <c r="C324" s="508">
        <f t="shared" si="52"/>
        <v>0.17695218260859913</v>
      </c>
      <c r="D324" s="508">
        <f t="shared" si="53"/>
        <v>1.7689321820253163</v>
      </c>
      <c r="E324" s="505">
        <f t="shared" si="54"/>
        <v>1</v>
      </c>
      <c r="F324" s="508">
        <f t="shared" si="48"/>
        <v>3.0244876463070947</v>
      </c>
      <c r="G324" s="508">
        <f t="shared" si="49"/>
        <v>1.095172778445015E-2</v>
      </c>
      <c r="H324" s="508">
        <f t="shared" si="50"/>
        <v>3.3123365389787648E-2</v>
      </c>
      <c r="I324" s="508">
        <f t="shared" si="51"/>
        <v>0</v>
      </c>
      <c r="J324" s="509">
        <v>0</v>
      </c>
      <c r="K324" s="509">
        <f t="shared" si="55"/>
        <v>9.1996260007118184E-3</v>
      </c>
      <c r="L324" s="509">
        <f t="shared" si="56"/>
        <v>-0.14864265548310512</v>
      </c>
      <c r="Q324" s="83" t="s">
        <v>1854</v>
      </c>
      <c r="R324" s="82">
        <f>-O326*SUM(H207:H244)</f>
        <v>0.43101558125197531</v>
      </c>
      <c r="S324" s="474" t="s">
        <v>1942</v>
      </c>
    </row>
    <row r="325" spans="2:19" x14ac:dyDescent="0.25">
      <c r="B325" s="505">
        <f t="shared" si="57"/>
        <v>1.4741101516877635</v>
      </c>
      <c r="C325" s="508">
        <f t="shared" si="52"/>
        <v>0.17695218260859913</v>
      </c>
      <c r="D325" s="508">
        <f t="shared" si="53"/>
        <v>1.7689321820253163</v>
      </c>
      <c r="E325" s="505">
        <f t="shared" si="54"/>
        <v>1</v>
      </c>
      <c r="F325" s="508">
        <f t="shared" si="48"/>
        <v>3.0244876463070947</v>
      </c>
      <c r="G325" s="508">
        <f t="shared" si="49"/>
        <v>1.095172778445015E-2</v>
      </c>
      <c r="H325" s="508">
        <f t="shared" si="50"/>
        <v>3.3123365389787648E-2</v>
      </c>
      <c r="I325" s="508">
        <f t="shared" si="51"/>
        <v>0</v>
      </c>
      <c r="J325" s="509">
        <v>0</v>
      </c>
      <c r="K325" s="509">
        <f t="shared" si="55"/>
        <v>8.0277005036551493E-3</v>
      </c>
      <c r="L325" s="509">
        <f t="shared" si="56"/>
        <v>-0.12970730768772926</v>
      </c>
      <c r="N325" s="474" t="s">
        <v>1853</v>
      </c>
      <c r="O325" s="474" t="s">
        <v>1852</v>
      </c>
      <c r="Q325" s="77" t="s">
        <v>1851</v>
      </c>
      <c r="R325" s="81">
        <f>SUM(M207:M244)</f>
        <v>3.1345216985340228E-2</v>
      </c>
    </row>
    <row r="326" spans="2:19" x14ac:dyDescent="0.25">
      <c r="B326" s="505">
        <f t="shared" si="57"/>
        <v>1.6846973162145868</v>
      </c>
      <c r="C326" s="508">
        <f t="shared" si="52"/>
        <v>0.17695218260859913</v>
      </c>
      <c r="D326" s="508">
        <f t="shared" si="53"/>
        <v>1.7689321820253163</v>
      </c>
      <c r="E326" s="505">
        <f t="shared" si="54"/>
        <v>1</v>
      </c>
      <c r="F326" s="508">
        <f t="shared" si="48"/>
        <v>3.0244876463070947</v>
      </c>
      <c r="G326" s="508">
        <f t="shared" si="49"/>
        <v>1.095172778445015E-2</v>
      </c>
      <c r="H326" s="508">
        <f t="shared" si="50"/>
        <v>3.3123365389787648E-2</v>
      </c>
      <c r="I326" s="508">
        <f t="shared" si="51"/>
        <v>0</v>
      </c>
      <c r="J326" s="509">
        <v>0</v>
      </c>
      <c r="K326" s="509">
        <f t="shared" si="55"/>
        <v>6.9330583609950348E-3</v>
      </c>
      <c r="L326" s="509">
        <f t="shared" si="56"/>
        <v>-0.1120206631571662</v>
      </c>
      <c r="N326" s="80">
        <f>MAX(L318:L338)</f>
        <v>-6.47513034487399E-4</v>
      </c>
      <c r="O326" s="474">
        <f>MIN(L318:L339)</f>
        <v>-0.28831006763530037</v>
      </c>
      <c r="Q326" s="77" t="s">
        <v>1850</v>
      </c>
      <c r="R326" s="79">
        <f>((PI()^2)*C228*R325/(4*R324))^(1/2)</f>
        <v>22.257401512653985</v>
      </c>
      <c r="S326" s="78"/>
    </row>
    <row r="327" spans="2:19" x14ac:dyDescent="0.25">
      <c r="B327" s="505">
        <f t="shared" si="57"/>
        <v>1.8952844807414102</v>
      </c>
      <c r="C327" s="508">
        <f t="shared" si="52"/>
        <v>0.17695218260859913</v>
      </c>
      <c r="D327" s="508">
        <f t="shared" si="53"/>
        <v>1.7689321820253163</v>
      </c>
      <c r="E327" s="505">
        <f t="shared" si="54"/>
        <v>1</v>
      </c>
      <c r="F327" s="508">
        <f t="shared" si="48"/>
        <v>3.0244876463070947</v>
      </c>
      <c r="G327" s="508">
        <f t="shared" si="49"/>
        <v>1.095172778445015E-2</v>
      </c>
      <c r="H327" s="508">
        <f t="shared" si="50"/>
        <v>3.3123365389787648E-2</v>
      </c>
      <c r="I327" s="508">
        <f t="shared" si="51"/>
        <v>0</v>
      </c>
      <c r="J327" s="509">
        <v>0</v>
      </c>
      <c r="K327" s="509">
        <f t="shared" si="55"/>
        <v>5.9160560671211448E-3</v>
      </c>
      <c r="L327" s="509">
        <f t="shared" si="56"/>
        <v>-9.5588481937828845E-2</v>
      </c>
      <c r="Q327" s="77" t="s">
        <v>1849</v>
      </c>
      <c r="R327" s="76">
        <f>C110/(R326*2)</f>
        <v>0</v>
      </c>
    </row>
    <row r="328" spans="2:19" ht="15.75" thickBot="1" x14ac:dyDescent="0.3">
      <c r="B328" s="505">
        <f t="shared" si="57"/>
        <v>2.1058716452682336</v>
      </c>
      <c r="C328" s="508">
        <f t="shared" si="52"/>
        <v>0.17695218260859913</v>
      </c>
      <c r="D328" s="508">
        <f t="shared" si="53"/>
        <v>1.7689321820253163</v>
      </c>
      <c r="E328" s="505">
        <f t="shared" si="54"/>
        <v>1</v>
      </c>
      <c r="F328" s="508">
        <f t="shared" si="48"/>
        <v>3.0244876463070947</v>
      </c>
      <c r="G328" s="508">
        <f t="shared" si="49"/>
        <v>1.095172778445015E-2</v>
      </c>
      <c r="H328" s="508">
        <f t="shared" si="50"/>
        <v>3.3123365389787648E-2</v>
      </c>
      <c r="I328" s="508">
        <f t="shared" si="51"/>
        <v>0</v>
      </c>
      <c r="J328" s="509">
        <v>0</v>
      </c>
      <c r="K328" s="509">
        <f t="shared" si="55"/>
        <v>4.9771794400500328E-3</v>
      </c>
      <c r="L328" s="509">
        <f t="shared" si="56"/>
        <v>-8.0418613618391421E-2</v>
      </c>
      <c r="Q328" s="75" t="s">
        <v>1848</v>
      </c>
      <c r="R328" s="74">
        <f>ROUNDUP(R327,0)</f>
        <v>0</v>
      </c>
    </row>
    <row r="329" spans="2:19" x14ac:dyDescent="0.25">
      <c r="B329" s="505">
        <f t="shared" si="57"/>
        <v>2.3164588097950567</v>
      </c>
      <c r="C329" s="508">
        <f t="shared" si="52"/>
        <v>0.17695218260859913</v>
      </c>
      <c r="D329" s="508">
        <f t="shared" si="53"/>
        <v>1.7689321820253163</v>
      </c>
      <c r="E329" s="505">
        <f t="shared" si="54"/>
        <v>1</v>
      </c>
      <c r="F329" s="508">
        <f t="shared" si="48"/>
        <v>3.0244876463070947</v>
      </c>
      <c r="G329" s="508">
        <f t="shared" si="49"/>
        <v>1.095172778445015E-2</v>
      </c>
      <c r="H329" s="508">
        <f t="shared" si="50"/>
        <v>3.3123365389787648E-2</v>
      </c>
      <c r="I329" s="508">
        <f t="shared" si="51"/>
        <v>0</v>
      </c>
      <c r="J329" s="509">
        <v>0</v>
      </c>
      <c r="K329" s="509">
        <f t="shared" si="55"/>
        <v>4.1170433238691545E-3</v>
      </c>
      <c r="L329" s="509">
        <f t="shared" si="56"/>
        <v>-6.65209925220384E-2</v>
      </c>
    </row>
    <row r="330" spans="2:19" x14ac:dyDescent="0.25">
      <c r="B330" s="505">
        <f t="shared" si="57"/>
        <v>2.5270459743218803</v>
      </c>
      <c r="C330" s="508">
        <f t="shared" si="52"/>
        <v>0.17695218260859913</v>
      </c>
      <c r="D330" s="508">
        <f t="shared" si="53"/>
        <v>1.7689321820253163</v>
      </c>
      <c r="E330" s="505">
        <f t="shared" si="54"/>
        <v>1</v>
      </c>
      <c r="F330" s="508">
        <f t="shared" si="48"/>
        <v>3.0244876463070947</v>
      </c>
      <c r="G330" s="508">
        <f t="shared" si="49"/>
        <v>1.095172778445015E-2</v>
      </c>
      <c r="H330" s="508">
        <f t="shared" si="50"/>
        <v>3.3123365389787648E-2</v>
      </c>
      <c r="I330" s="508">
        <f t="shared" si="51"/>
        <v>0</v>
      </c>
      <c r="J330" s="509">
        <v>0</v>
      </c>
      <c r="K330" s="509">
        <f t="shared" si="55"/>
        <v>3.3363766390542282E-3</v>
      </c>
      <c r="L330" s="509">
        <f t="shared" si="56"/>
        <v>-5.3907396157457446E-2</v>
      </c>
    </row>
    <row r="331" spans="2:19" x14ac:dyDescent="0.25">
      <c r="B331" s="505">
        <f t="shared" si="57"/>
        <v>2.7376331388487039</v>
      </c>
      <c r="C331" s="508">
        <f t="shared" si="52"/>
        <v>0.17695218260859913</v>
      </c>
      <c r="D331" s="508">
        <f t="shared" si="53"/>
        <v>1.7689321820253163</v>
      </c>
      <c r="E331" s="505">
        <f t="shared" si="54"/>
        <v>1</v>
      </c>
      <c r="F331" s="508">
        <f t="shared" si="48"/>
        <v>3.0244876463070947</v>
      </c>
      <c r="G331" s="508">
        <f t="shared" si="49"/>
        <v>1.095172778445015E-2</v>
      </c>
      <c r="H331" s="508">
        <f t="shared" si="50"/>
        <v>3.3123365389787648E-2</v>
      </c>
      <c r="I331" s="508">
        <f t="shared" si="51"/>
        <v>0</v>
      </c>
      <c r="J331" s="509">
        <v>0</v>
      </c>
      <c r="K331" s="509">
        <f t="shared" si="55"/>
        <v>2.635992780659957E-3</v>
      </c>
      <c r="L331" s="509">
        <f t="shared" si="56"/>
        <v>-4.2590966928576592E-2</v>
      </c>
      <c r="N331" s="59" t="s">
        <v>2331</v>
      </c>
      <c r="O331" s="474" t="s">
        <v>2302</v>
      </c>
    </row>
    <row r="332" spans="2:19" x14ac:dyDescent="0.25">
      <c r="B332" s="505">
        <f t="shared" si="57"/>
        <v>2.9482203033755274</v>
      </c>
      <c r="C332" s="508">
        <f t="shared" si="52"/>
        <v>0.17695218260859913</v>
      </c>
      <c r="D332" s="508">
        <f t="shared" si="53"/>
        <v>1.7689321820253163</v>
      </c>
      <c r="E332" s="505">
        <f t="shared" si="54"/>
        <v>1</v>
      </c>
      <c r="F332" s="508">
        <f t="shared" si="48"/>
        <v>3.0244876463070947</v>
      </c>
      <c r="G332" s="508">
        <f t="shared" si="49"/>
        <v>1.095172778445015E-2</v>
      </c>
      <c r="H332" s="508">
        <f t="shared" si="50"/>
        <v>3.3123365389787648E-2</v>
      </c>
      <c r="I332" s="508">
        <f t="shared" si="51"/>
        <v>0</v>
      </c>
      <c r="J332" s="509">
        <v>0</v>
      </c>
      <c r="K332" s="509">
        <f t="shared" si="55"/>
        <v>2.0167453643840927E-3</v>
      </c>
      <c r="L332" s="509">
        <f t="shared" si="56"/>
        <v>-3.2585497103045175E-2</v>
      </c>
      <c r="N332" s="474" t="s">
        <v>1837</v>
      </c>
      <c r="O332" s="474" t="s">
        <v>2332</v>
      </c>
    </row>
    <row r="333" spans="2:19" x14ac:dyDescent="0.25">
      <c r="B333" s="505">
        <f t="shared" si="57"/>
        <v>3.158807467902351</v>
      </c>
      <c r="C333" s="508">
        <f t="shared" si="52"/>
        <v>0.17695218260859913</v>
      </c>
      <c r="D333" s="508">
        <f t="shared" si="53"/>
        <v>1.7689321820253163</v>
      </c>
      <c r="E333" s="505">
        <f t="shared" si="54"/>
        <v>1</v>
      </c>
      <c r="F333" s="508">
        <f t="shared" si="48"/>
        <v>3.0244876463070947</v>
      </c>
      <c r="G333" s="508">
        <f t="shared" si="49"/>
        <v>1.095172778445015E-2</v>
      </c>
      <c r="H333" s="508">
        <f t="shared" si="50"/>
        <v>3.3123365389787648E-2</v>
      </c>
      <c r="I333" s="508">
        <f t="shared" si="51"/>
        <v>0</v>
      </c>
      <c r="J333" s="509">
        <v>0</v>
      </c>
      <c r="K333" s="509">
        <f t="shared" si="55"/>
        <v>1.4794693205048767E-3</v>
      </c>
      <c r="L333" s="509">
        <f t="shared" si="56"/>
        <v>-2.3904477039459474E-2</v>
      </c>
      <c r="N333" s="73">
        <f>B318</f>
        <v>0</v>
      </c>
      <c r="O333" s="474">
        <f>($W$304/($D$301*$V$307))*($E$144*(N333^2)/2+((($J$47*N333^8)/(8*7*6*5))+(($K$47*N333^7)/(7*6*5*4))+(($L$47*N333^6)/(6*5*4*3))+(($M$47*N333^5)/(5*4*3*2))+($N$47*N333^4)/(4*3*2))-($E$117*N333^3)/(3*2))</f>
        <v>0</v>
      </c>
    </row>
    <row r="334" spans="2:19" x14ac:dyDescent="0.25">
      <c r="B334" s="505">
        <f t="shared" si="57"/>
        <v>3.3693946324291746</v>
      </c>
      <c r="C334" s="508">
        <f t="shared" si="52"/>
        <v>0.17695218260859913</v>
      </c>
      <c r="D334" s="508">
        <f t="shared" si="53"/>
        <v>1.7689321820253163</v>
      </c>
      <c r="E334" s="505">
        <f t="shared" si="54"/>
        <v>1</v>
      </c>
      <c r="F334" s="508">
        <f t="shared" si="48"/>
        <v>3.0244876463070947</v>
      </c>
      <c r="G334" s="508">
        <f t="shared" si="49"/>
        <v>1.095172778445015E-2</v>
      </c>
      <c r="H334" s="508">
        <f t="shared" si="50"/>
        <v>3.3123365389787648E-2</v>
      </c>
      <c r="I334" s="508">
        <f t="shared" si="51"/>
        <v>0</v>
      </c>
      <c r="J334" s="509">
        <v>0</v>
      </c>
      <c r="K334" s="509">
        <f t="shared" si="55"/>
        <v>1.0249073356917923E-3</v>
      </c>
      <c r="L334" s="509">
        <f t="shared" si="56"/>
        <v>-1.6559906673331574E-2</v>
      </c>
      <c r="N334" s="73">
        <f t="shared" ref="N334:N354" si="58">B319</f>
        <v>0.21058716452682336</v>
      </c>
      <c r="O334" s="474">
        <f t="shared" ref="O334:O354" si="59">($W$304/($D$301*$V$307))*($E$144*(N334^2)/2+((($J$47*N334^8)/(8*7*6*5))+(($K$47*N334^7)/(7*6*5*4))+(($L$47*N334^6)/(6*5*4*3))+(($M$47*N334^5)/(5*4*3*2))+($N$47*N334^4)/(4*3*2))-($E$117*N334^3)/(3*2))</f>
        <v>1.2682485145394306E-5</v>
      </c>
    </row>
    <row r="335" spans="2:19" x14ac:dyDescent="0.25">
      <c r="B335" s="505">
        <f t="shared" si="57"/>
        <v>3.5799817969559982</v>
      </c>
      <c r="C335" s="508">
        <f t="shared" si="52"/>
        <v>0.17695218260859913</v>
      </c>
      <c r="D335" s="508">
        <f t="shared" si="53"/>
        <v>1.7689321820253163</v>
      </c>
      <c r="E335" s="505">
        <f>E228</f>
        <v>1</v>
      </c>
      <c r="F335" s="508">
        <f t="shared" si="48"/>
        <v>3.0244876463070947</v>
      </c>
      <c r="G335" s="508">
        <f t="shared" si="49"/>
        <v>1.095172778445015E-2</v>
      </c>
      <c r="H335" s="508">
        <f t="shared" si="50"/>
        <v>3.3123365389787648E-2</v>
      </c>
      <c r="I335" s="508">
        <f t="shared" si="51"/>
        <v>0</v>
      </c>
      <c r="J335" s="509">
        <v>0</v>
      </c>
      <c r="K335" s="509">
        <f t="shared" si="55"/>
        <v>6.536216426897036E-4</v>
      </c>
      <c r="L335" s="509">
        <f t="shared" si="56"/>
        <v>-1.0560870261802973E-2</v>
      </c>
      <c r="N335" s="73">
        <f t="shared" si="58"/>
        <v>0.42117432905364671</v>
      </c>
      <c r="O335" s="474">
        <f t="shared" si="59"/>
        <v>4.9152956710192804E-5</v>
      </c>
    </row>
    <row r="336" spans="2:19" x14ac:dyDescent="0.25">
      <c r="B336" s="505">
        <f t="shared" si="57"/>
        <v>3.7905689614828217</v>
      </c>
      <c r="C336" s="508">
        <f t="shared" si="52"/>
        <v>0.17695218260859913</v>
      </c>
      <c r="D336" s="508">
        <f t="shared" si="53"/>
        <v>1.7689321820253163</v>
      </c>
      <c r="E336" s="505">
        <f t="shared" ref="E336:E339" si="60">E229</f>
        <v>1</v>
      </c>
      <c r="F336" s="508">
        <f t="shared" si="48"/>
        <v>3.0244876463070947</v>
      </c>
      <c r="G336" s="508">
        <f t="shared" si="49"/>
        <v>1.095172778445015E-2</v>
      </c>
      <c r="H336" s="508">
        <f t="shared" si="50"/>
        <v>3.3123365389787648E-2</v>
      </c>
      <c r="I336" s="508">
        <f t="shared" si="51"/>
        <v>0</v>
      </c>
      <c r="J336" s="509">
        <v>0</v>
      </c>
      <c r="K336" s="509">
        <f t="shared" si="55"/>
        <v>3.6589115787635101E-4</v>
      </c>
      <c r="L336" s="509">
        <f t="shared" si="56"/>
        <v>-5.9118743871023347E-3</v>
      </c>
      <c r="N336" s="73">
        <f t="shared" si="58"/>
        <v>0.63176149358047007</v>
      </c>
      <c r="O336" s="474">
        <f t="shared" si="59"/>
        <v>1.0712967592389777E-4</v>
      </c>
    </row>
    <row r="337" spans="2:15" x14ac:dyDescent="0.25">
      <c r="B337" s="505">
        <f t="shared" si="57"/>
        <v>4.0011561260096453</v>
      </c>
      <c r="C337" s="508">
        <f t="shared" si="52"/>
        <v>0.17695218260859913</v>
      </c>
      <c r="D337" s="508">
        <f t="shared" si="53"/>
        <v>1.7689321820253163</v>
      </c>
      <c r="E337" s="505">
        <f t="shared" si="60"/>
        <v>1</v>
      </c>
      <c r="F337" s="508">
        <f t="shared" si="48"/>
        <v>3.0244876463070947</v>
      </c>
      <c r="G337" s="508">
        <f t="shared" si="49"/>
        <v>1.095172778445015E-2</v>
      </c>
      <c r="H337" s="508">
        <f t="shared" si="50"/>
        <v>3.3123365389787648E-2</v>
      </c>
      <c r="I337" s="508">
        <f t="shared" si="51"/>
        <v>0</v>
      </c>
      <c r="J337" s="509">
        <v>0</v>
      </c>
      <c r="K337" s="509">
        <f t="shared" si="55"/>
        <v>1.6159396669316456E-4</v>
      </c>
      <c r="L337" s="509">
        <f t="shared" si="56"/>
        <v>-2.6109492187467082E-3</v>
      </c>
      <c r="N337" s="73">
        <f t="shared" si="58"/>
        <v>0.84234865810729342</v>
      </c>
      <c r="O337" s="474">
        <f t="shared" si="59"/>
        <v>1.8444297813069958E-4</v>
      </c>
    </row>
    <row r="338" spans="2:15" x14ac:dyDescent="0.25">
      <c r="B338" s="505">
        <f t="shared" si="57"/>
        <v>4.2117432905364689</v>
      </c>
      <c r="C338" s="508">
        <f t="shared" si="52"/>
        <v>0.17695218260859913</v>
      </c>
      <c r="D338" s="508">
        <f t="shared" si="53"/>
        <v>1.7689321820253163</v>
      </c>
      <c r="E338" s="505">
        <f t="shared" si="60"/>
        <v>1</v>
      </c>
      <c r="F338" s="508">
        <f t="shared" si="48"/>
        <v>3.0244876463070947</v>
      </c>
      <c r="G338" s="508">
        <f t="shared" si="49"/>
        <v>1.095172778445015E-2</v>
      </c>
      <c r="H338" s="508">
        <f t="shared" si="50"/>
        <v>3.3123365389787648E-2</v>
      </c>
      <c r="I338" s="508">
        <f t="shared" si="51"/>
        <v>0</v>
      </c>
      <c r="J338" s="509">
        <v>0</v>
      </c>
      <c r="K338" s="509">
        <f t="shared" si="55"/>
        <v>4.0075156949460899E-5</v>
      </c>
      <c r="L338" s="509">
        <f t="shared" si="56"/>
        <v>-6.47513034487399E-4</v>
      </c>
      <c r="N338" s="73">
        <f t="shared" si="58"/>
        <v>1.0529358226341168</v>
      </c>
      <c r="O338" s="474">
        <f t="shared" si="59"/>
        <v>2.7903560359382262E-4</v>
      </c>
    </row>
    <row r="339" spans="2:15" x14ac:dyDescent="0.25">
      <c r="B339" s="505">
        <f t="shared" si="57"/>
        <v>4.4223304550632925</v>
      </c>
      <c r="C339" s="508">
        <f t="shared" si="52"/>
        <v>0.17695218260859913</v>
      </c>
      <c r="D339" s="508">
        <f t="shared" si="53"/>
        <v>1.7689321820253163</v>
      </c>
      <c r="E339" s="505">
        <f t="shared" si="60"/>
        <v>1</v>
      </c>
      <c r="F339" s="508">
        <f t="shared" si="48"/>
        <v>3.0244876463070947</v>
      </c>
      <c r="G339" s="508">
        <f t="shared" si="49"/>
        <v>1.095172778445015E-2</v>
      </c>
      <c r="H339" s="508">
        <f t="shared" si="50"/>
        <v>3.3123365389787648E-2</v>
      </c>
      <c r="I339" s="508">
        <f t="shared" si="51"/>
        <v>0</v>
      </c>
      <c r="J339" s="509">
        <v>0</v>
      </c>
      <c r="K339" s="509">
        <f t="shared" si="55"/>
        <v>0</v>
      </c>
      <c r="L339" s="509">
        <f t="shared" si="56"/>
        <v>0</v>
      </c>
      <c r="N339" s="73">
        <f t="shared" si="58"/>
        <v>1.2635229871609401</v>
      </c>
      <c r="O339" s="474">
        <f t="shared" si="59"/>
        <v>3.8896289601325027E-4</v>
      </c>
    </row>
    <row r="340" spans="2:15" x14ac:dyDescent="0.25">
      <c r="B340" s="506">
        <v>0</v>
      </c>
      <c r="C340" s="510">
        <f>MIN($AN$26:$AN$43)</f>
        <v>-0.17695218260859913</v>
      </c>
      <c r="D340" s="510">
        <f>INDEX($AM$26:$AN$43,MATCH(C340,$AN$26:$AN$43,0),1)</f>
        <v>1.7689321820253163</v>
      </c>
      <c r="E340" s="506">
        <f>E228</f>
        <v>1</v>
      </c>
      <c r="F340" s="70">
        <f t="shared" si="48"/>
        <v>3.0244876463070947</v>
      </c>
      <c r="G340" s="70">
        <f t="shared" si="49"/>
        <v>1.095172778445015E-2</v>
      </c>
      <c r="H340" s="70">
        <f t="shared" si="50"/>
        <v>3.3123365389787648E-2</v>
      </c>
      <c r="I340" s="70">
        <f t="shared" si="51"/>
        <v>0</v>
      </c>
      <c r="J340" s="70">
        <v>0</v>
      </c>
      <c r="K340" s="70">
        <f t="shared" si="55"/>
        <v>1.7843766218144291E-2</v>
      </c>
      <c r="L340" s="70">
        <f t="shared" si="56"/>
        <v>0.28831006763530037</v>
      </c>
      <c r="N340" s="73">
        <f t="shared" si="58"/>
        <v>1.4741101516877635</v>
      </c>
      <c r="O340" s="474">
        <f t="shared" si="59"/>
        <v>5.1239297577399337E-4</v>
      </c>
    </row>
    <row r="341" spans="2:15" x14ac:dyDescent="0.25">
      <c r="B341" s="506">
        <f>B340+$F$44/21</f>
        <v>0.21058716452682336</v>
      </c>
      <c r="C341" s="510">
        <f t="shared" ref="C341:C361" si="61">MIN($AN$26:$AN$43)</f>
        <v>-0.17695218260859913</v>
      </c>
      <c r="D341" s="510">
        <f t="shared" ref="D341:D361" si="62">INDEX($AM$26:$AN$43,MATCH(C341,$AN$26:$AN$43,0),1)</f>
        <v>1.7689321820253163</v>
      </c>
      <c r="E341" s="506">
        <f t="shared" ref="E341:E361" si="63">E229</f>
        <v>1</v>
      </c>
      <c r="F341" s="70">
        <f t="shared" si="48"/>
        <v>3.0244876463070947</v>
      </c>
      <c r="G341" s="70">
        <f t="shared" si="49"/>
        <v>1.095172778445015E-2</v>
      </c>
      <c r="H341" s="70">
        <f t="shared" si="50"/>
        <v>3.3123365389787648E-2</v>
      </c>
      <c r="I341" s="70">
        <f t="shared" si="51"/>
        <v>0</v>
      </c>
      <c r="J341" s="70">
        <v>0</v>
      </c>
      <c r="K341" s="70">
        <f t="shared" si="55"/>
        <v>1.6212039697646057E-2</v>
      </c>
      <c r="L341" s="70">
        <f t="shared" si="56"/>
        <v>0.26194549987892651</v>
      </c>
      <c r="N341" s="73">
        <f t="shared" si="58"/>
        <v>1.6846973162145868</v>
      </c>
      <c r="O341" s="474">
        <f t="shared" si="59"/>
        <v>6.4760697345134601E-4</v>
      </c>
    </row>
    <row r="342" spans="2:15" x14ac:dyDescent="0.25">
      <c r="B342" s="506">
        <f t="shared" ref="B342:B361" si="64">B341+$F$44/21</f>
        <v>0.42117432905364671</v>
      </c>
      <c r="C342" s="510">
        <f t="shared" si="61"/>
        <v>-0.17695218260859913</v>
      </c>
      <c r="D342" s="510">
        <f t="shared" si="62"/>
        <v>1.7689321820253163</v>
      </c>
      <c r="E342" s="506">
        <f t="shared" si="63"/>
        <v>1</v>
      </c>
      <c r="F342" s="70">
        <f t="shared" si="48"/>
        <v>3.0244876463070947</v>
      </c>
      <c r="G342" s="70">
        <f t="shared" si="49"/>
        <v>1.095172778445015E-2</v>
      </c>
      <c r="H342" s="70">
        <f t="shared" si="50"/>
        <v>3.3123365389787648E-2</v>
      </c>
      <c r="I342" s="70">
        <f t="shared" si="51"/>
        <v>0</v>
      </c>
      <c r="J342" s="70">
        <v>0</v>
      </c>
      <c r="K342" s="70">
        <f t="shared" si="55"/>
        <v>1.4656343856548848E-2</v>
      </c>
      <c r="L342" s="70">
        <f t="shared" si="56"/>
        <v>0.23680939533219614</v>
      </c>
      <c r="N342" s="73">
        <f t="shared" si="58"/>
        <v>1.8952844807414102</v>
      </c>
      <c r="O342" s="474">
        <f t="shared" si="59"/>
        <v>7.9299938760885535E-4</v>
      </c>
    </row>
    <row r="343" spans="2:15" x14ac:dyDescent="0.25">
      <c r="B343" s="506">
        <f t="shared" si="64"/>
        <v>0.63176149358047007</v>
      </c>
      <c r="C343" s="510">
        <f t="shared" si="61"/>
        <v>-0.17695218260859913</v>
      </c>
      <c r="D343" s="510">
        <f t="shared" si="62"/>
        <v>1.7689321820253163</v>
      </c>
      <c r="E343" s="506">
        <f t="shared" si="63"/>
        <v>1</v>
      </c>
      <c r="F343" s="70">
        <f t="shared" si="48"/>
        <v>3.0244876463070947</v>
      </c>
      <c r="G343" s="70">
        <f t="shared" si="49"/>
        <v>1.095172778445015E-2</v>
      </c>
      <c r="H343" s="70">
        <f t="shared" si="50"/>
        <v>3.3123365389787648E-2</v>
      </c>
      <c r="I343" s="70">
        <f t="shared" si="51"/>
        <v>0</v>
      </c>
      <c r="J343" s="70">
        <v>0</v>
      </c>
      <c r="K343" s="70">
        <f t="shared" si="55"/>
        <v>1.3177073517897485E-2</v>
      </c>
      <c r="L343" s="70">
        <f t="shared" si="56"/>
        <v>0.21290813333551084</v>
      </c>
      <c r="N343" s="73">
        <f t="shared" si="58"/>
        <v>2.1058716452682336</v>
      </c>
      <c r="O343" s="474">
        <f t="shared" si="59"/>
        <v>9.4707860943400799E-4</v>
      </c>
    </row>
    <row r="344" spans="2:15" x14ac:dyDescent="0.25">
      <c r="B344" s="506">
        <f t="shared" si="64"/>
        <v>0.84234865810729342</v>
      </c>
      <c r="C344" s="510">
        <f t="shared" si="61"/>
        <v>-0.17695218260859913</v>
      </c>
      <c r="D344" s="510">
        <f t="shared" si="62"/>
        <v>1.7689321820253163</v>
      </c>
      <c r="E344" s="506">
        <f t="shared" si="63"/>
        <v>1</v>
      </c>
      <c r="F344" s="70">
        <f t="shared" si="48"/>
        <v>3.0244876463070947</v>
      </c>
      <c r="G344" s="70">
        <f t="shared" si="49"/>
        <v>1.095172778445015E-2</v>
      </c>
      <c r="H344" s="70">
        <f t="shared" si="50"/>
        <v>3.3123365389787648E-2</v>
      </c>
      <c r="I344" s="70">
        <f t="shared" si="51"/>
        <v>0</v>
      </c>
      <c r="J344" s="70">
        <v>0</v>
      </c>
      <c r="K344" s="70">
        <f t="shared" si="55"/>
        <v>1.1774446919040015E-2</v>
      </c>
      <c r="L344" s="70">
        <f t="shared" si="56"/>
        <v>0.19024524005166663</v>
      </c>
      <c r="N344" s="73">
        <f t="shared" si="58"/>
        <v>2.3164588097950567</v>
      </c>
      <c r="O344" s="474">
        <f t="shared" si="59"/>
        <v>1.108467635265922E-3</v>
      </c>
    </row>
    <row r="345" spans="2:15" x14ac:dyDescent="0.25">
      <c r="B345" s="506">
        <f t="shared" si="64"/>
        <v>1.0529358226341168</v>
      </c>
      <c r="C345" s="510">
        <f t="shared" si="61"/>
        <v>-0.17695218260859913</v>
      </c>
      <c r="D345" s="510">
        <f t="shared" si="62"/>
        <v>1.7689321820253163</v>
      </c>
      <c r="E345" s="506">
        <f t="shared" si="63"/>
        <v>1</v>
      </c>
      <c r="F345" s="70">
        <f t="shared" si="48"/>
        <v>3.0244876463070947</v>
      </c>
      <c r="G345" s="70">
        <f t="shared" si="49"/>
        <v>1.095172778445015E-2</v>
      </c>
      <c r="H345" s="70">
        <f t="shared" si="50"/>
        <v>3.3123365389787648E-2</v>
      </c>
      <c r="I345" s="70">
        <f t="shared" si="51"/>
        <v>0</v>
      </c>
      <c r="J345" s="70">
        <v>0</v>
      </c>
      <c r="K345" s="70">
        <f t="shared" si="55"/>
        <v>1.0448593326831615E-2</v>
      </c>
      <c r="L345" s="70">
        <f t="shared" si="56"/>
        <v>0.16882280410563777</v>
      </c>
      <c r="N345" s="73">
        <f t="shared" si="58"/>
        <v>2.5270459743218803</v>
      </c>
      <c r="O345" s="474">
        <f t="shared" si="59"/>
        <v>1.2759049665786049E-3</v>
      </c>
    </row>
    <row r="346" spans="2:15" x14ac:dyDescent="0.25">
      <c r="B346" s="506">
        <f t="shared" si="64"/>
        <v>1.2635229871609401</v>
      </c>
      <c r="C346" s="510">
        <f t="shared" si="61"/>
        <v>-0.17695218260859913</v>
      </c>
      <c r="D346" s="510">
        <f t="shared" si="62"/>
        <v>1.7689321820253163</v>
      </c>
      <c r="E346" s="506">
        <f t="shared" si="63"/>
        <v>1</v>
      </c>
      <c r="F346" s="70">
        <f t="shared" si="48"/>
        <v>3.0244876463070947</v>
      </c>
      <c r="G346" s="70">
        <f t="shared" si="49"/>
        <v>1.095172778445015E-2</v>
      </c>
      <c r="H346" s="70">
        <f t="shared" si="50"/>
        <v>3.3123365389787648E-2</v>
      </c>
      <c r="I346" s="70">
        <f t="shared" si="51"/>
        <v>0</v>
      </c>
      <c r="J346" s="70">
        <v>0</v>
      </c>
      <c r="K346" s="70">
        <f t="shared" si="55"/>
        <v>9.1996260007118184E-3</v>
      </c>
      <c r="L346" s="70">
        <f t="shared" si="56"/>
        <v>0.14864265548310512</v>
      </c>
      <c r="N346" s="73">
        <f t="shared" si="58"/>
        <v>2.7376331388487039</v>
      </c>
      <c r="O346" s="474">
        <f t="shared" si="59"/>
        <v>1.448245675492629E-3</v>
      </c>
    </row>
    <row r="347" spans="2:15" x14ac:dyDescent="0.25">
      <c r="B347" s="506">
        <f t="shared" si="64"/>
        <v>1.4741101516877635</v>
      </c>
      <c r="C347" s="510">
        <f t="shared" si="61"/>
        <v>-0.17695218260859913</v>
      </c>
      <c r="D347" s="510">
        <f t="shared" si="62"/>
        <v>1.7689321820253163</v>
      </c>
      <c r="E347" s="506">
        <f t="shared" si="63"/>
        <v>1</v>
      </c>
      <c r="F347" s="70">
        <f t="shared" si="48"/>
        <v>3.0244876463070947</v>
      </c>
      <c r="G347" s="70">
        <f t="shared" si="49"/>
        <v>1.095172778445015E-2</v>
      </c>
      <c r="H347" s="70">
        <f t="shared" si="50"/>
        <v>3.3123365389787648E-2</v>
      </c>
      <c r="I347" s="70">
        <f t="shared" si="51"/>
        <v>0</v>
      </c>
      <c r="J347" s="70">
        <v>0</v>
      </c>
      <c r="K347" s="70">
        <f t="shared" si="55"/>
        <v>8.0277005036551493E-3</v>
      </c>
      <c r="L347" s="70">
        <f t="shared" si="56"/>
        <v>0.12970730768772926</v>
      </c>
      <c r="N347" s="73">
        <f t="shared" si="58"/>
        <v>2.9482203033755274</v>
      </c>
      <c r="O347" s="474">
        <f t="shared" si="59"/>
        <v>1.6244625923973459E-3</v>
      </c>
    </row>
    <row r="348" spans="2:15" x14ac:dyDescent="0.25">
      <c r="B348" s="506">
        <f t="shared" si="64"/>
        <v>1.6846973162145868</v>
      </c>
      <c r="C348" s="510">
        <f t="shared" si="61"/>
        <v>-0.17695218260859913</v>
      </c>
      <c r="D348" s="510">
        <f t="shared" si="62"/>
        <v>1.7689321820253163</v>
      </c>
      <c r="E348" s="506">
        <f t="shared" si="63"/>
        <v>1</v>
      </c>
      <c r="F348" s="70">
        <f t="shared" si="48"/>
        <v>3.0244876463070947</v>
      </c>
      <c r="G348" s="70">
        <f t="shared" si="49"/>
        <v>1.095172778445015E-2</v>
      </c>
      <c r="H348" s="70">
        <f t="shared" si="50"/>
        <v>3.3123365389787648E-2</v>
      </c>
      <c r="I348" s="70">
        <f t="shared" si="51"/>
        <v>0</v>
      </c>
      <c r="J348" s="70">
        <v>0</v>
      </c>
      <c r="K348" s="70">
        <f t="shared" si="55"/>
        <v>6.9330583609950348E-3</v>
      </c>
      <c r="L348" s="70">
        <f t="shared" si="56"/>
        <v>0.1120206631571662</v>
      </c>
      <c r="N348" s="73">
        <f t="shared" si="58"/>
        <v>3.158807467902351</v>
      </c>
      <c r="O348" s="474">
        <f t="shared" si="59"/>
        <v>1.8036475507750495E-3</v>
      </c>
    </row>
    <row r="349" spans="2:15" x14ac:dyDescent="0.25">
      <c r="B349" s="506">
        <f t="shared" si="64"/>
        <v>1.8952844807414102</v>
      </c>
      <c r="C349" s="510">
        <f t="shared" si="61"/>
        <v>-0.17695218260859913</v>
      </c>
      <c r="D349" s="510">
        <f t="shared" si="62"/>
        <v>1.7689321820253163</v>
      </c>
      <c r="E349" s="506">
        <f t="shared" si="63"/>
        <v>1</v>
      </c>
      <c r="F349" s="70">
        <f t="shared" si="48"/>
        <v>3.0244876463070947</v>
      </c>
      <c r="G349" s="70">
        <f t="shared" si="49"/>
        <v>1.095172778445015E-2</v>
      </c>
      <c r="H349" s="70">
        <f t="shared" si="50"/>
        <v>3.3123365389787648E-2</v>
      </c>
      <c r="I349" s="70">
        <f t="shared" si="51"/>
        <v>0</v>
      </c>
      <c r="J349" s="70">
        <v>0</v>
      </c>
      <c r="K349" s="70">
        <f t="shared" si="55"/>
        <v>5.9160560671211448E-3</v>
      </c>
      <c r="L349" s="70">
        <f t="shared" si="56"/>
        <v>9.5588481937828845E-2</v>
      </c>
      <c r="N349" s="73">
        <f t="shared" si="58"/>
        <v>3.3693946324291746</v>
      </c>
      <c r="O349" s="474">
        <f t="shared" si="59"/>
        <v>1.9850126028277716E-3</v>
      </c>
    </row>
    <row r="350" spans="2:15" x14ac:dyDescent="0.25">
      <c r="B350" s="506">
        <f t="shared" si="64"/>
        <v>2.1058716452682336</v>
      </c>
      <c r="C350" s="510">
        <f t="shared" si="61"/>
        <v>-0.17695218260859913</v>
      </c>
      <c r="D350" s="510">
        <f t="shared" si="62"/>
        <v>1.7689321820253163</v>
      </c>
      <c r="E350" s="506">
        <f t="shared" si="63"/>
        <v>1</v>
      </c>
      <c r="F350" s="70">
        <f t="shared" si="48"/>
        <v>3.0244876463070947</v>
      </c>
      <c r="G350" s="70">
        <f t="shared" si="49"/>
        <v>1.095172778445015E-2</v>
      </c>
      <c r="H350" s="70">
        <f t="shared" si="50"/>
        <v>3.3123365389787648E-2</v>
      </c>
      <c r="I350" s="70">
        <f t="shared" si="51"/>
        <v>0</v>
      </c>
      <c r="J350" s="70">
        <v>0</v>
      </c>
      <c r="K350" s="70">
        <f t="shared" si="55"/>
        <v>4.9771794400500328E-3</v>
      </c>
      <c r="L350" s="70">
        <f t="shared" si="56"/>
        <v>8.0418613618391421E-2</v>
      </c>
      <c r="N350" s="73">
        <f t="shared" si="58"/>
        <v>3.5799817969559982</v>
      </c>
      <c r="O350" s="474">
        <f t="shared" si="59"/>
        <v>2.1678910980166772E-3</v>
      </c>
    </row>
    <row r="351" spans="2:15" x14ac:dyDescent="0.25">
      <c r="B351" s="506">
        <f t="shared" si="64"/>
        <v>2.3164588097950567</v>
      </c>
      <c r="C351" s="510">
        <f t="shared" si="61"/>
        <v>-0.17695218260859913</v>
      </c>
      <c r="D351" s="510">
        <f t="shared" si="62"/>
        <v>1.7689321820253163</v>
      </c>
      <c r="E351" s="506">
        <f t="shared" si="63"/>
        <v>1</v>
      </c>
      <c r="F351" s="70">
        <f t="shared" si="48"/>
        <v>3.0244876463070947</v>
      </c>
      <c r="G351" s="70">
        <f t="shared" si="49"/>
        <v>1.095172778445015E-2</v>
      </c>
      <c r="H351" s="70">
        <f t="shared" si="50"/>
        <v>3.3123365389787648E-2</v>
      </c>
      <c r="I351" s="70">
        <f t="shared" si="51"/>
        <v>0</v>
      </c>
      <c r="J351" s="70">
        <v>0</v>
      </c>
      <c r="K351" s="70">
        <f t="shared" si="55"/>
        <v>4.1170433238691545E-3</v>
      </c>
      <c r="L351" s="70">
        <f t="shared" si="56"/>
        <v>6.65209925220384E-2</v>
      </c>
      <c r="N351" s="73">
        <f>B336</f>
        <v>3.7905689614828217</v>
      </c>
      <c r="O351" s="474">
        <f t="shared" si="59"/>
        <v>2.3517384951333088E-3</v>
      </c>
    </row>
    <row r="352" spans="2:15" x14ac:dyDescent="0.25">
      <c r="B352" s="506">
        <f t="shared" si="64"/>
        <v>2.5270459743218803</v>
      </c>
      <c r="C352" s="510">
        <f t="shared" si="61"/>
        <v>-0.17695218260859913</v>
      </c>
      <c r="D352" s="510">
        <f t="shared" si="62"/>
        <v>1.7689321820253163</v>
      </c>
      <c r="E352" s="506">
        <f t="shared" si="63"/>
        <v>1</v>
      </c>
      <c r="F352" s="70">
        <f t="shared" si="48"/>
        <v>3.0244876463070947</v>
      </c>
      <c r="G352" s="70">
        <f t="shared" si="49"/>
        <v>1.095172778445015E-2</v>
      </c>
      <c r="H352" s="70">
        <f t="shared" si="50"/>
        <v>3.3123365389787648E-2</v>
      </c>
      <c r="I352" s="70">
        <f t="shared" si="51"/>
        <v>0</v>
      </c>
      <c r="J352" s="70">
        <v>0</v>
      </c>
      <c r="K352" s="70">
        <f t="shared" si="55"/>
        <v>3.3363766390542282E-3</v>
      </c>
      <c r="L352" s="70">
        <f t="shared" si="56"/>
        <v>5.3907396157457446E-2</v>
      </c>
      <c r="N352" s="73">
        <f t="shared" si="58"/>
        <v>4.0011561260096453</v>
      </c>
      <c r="O352" s="474">
        <f t="shared" si="59"/>
        <v>2.5361327570312033E-3</v>
      </c>
    </row>
    <row r="353" spans="1:15" x14ac:dyDescent="0.25">
      <c r="B353" s="506">
        <f t="shared" si="64"/>
        <v>2.7376331388487039</v>
      </c>
      <c r="C353" s="510">
        <f t="shared" si="61"/>
        <v>-0.17695218260859913</v>
      </c>
      <c r="D353" s="510">
        <f t="shared" si="62"/>
        <v>1.7689321820253163</v>
      </c>
      <c r="E353" s="506">
        <f t="shared" si="63"/>
        <v>1</v>
      </c>
      <c r="F353" s="70">
        <f t="shared" si="48"/>
        <v>3.0244876463070947</v>
      </c>
      <c r="G353" s="70">
        <f t="shared" si="49"/>
        <v>1.095172778445015E-2</v>
      </c>
      <c r="H353" s="70">
        <f t="shared" si="50"/>
        <v>3.3123365389787648E-2</v>
      </c>
      <c r="I353" s="70">
        <f t="shared" si="51"/>
        <v>0</v>
      </c>
      <c r="J353" s="70">
        <v>0</v>
      </c>
      <c r="K353" s="70">
        <f t="shared" si="55"/>
        <v>2.635992780659957E-3</v>
      </c>
      <c r="L353" s="70">
        <f t="shared" si="56"/>
        <v>4.2590966928576592E-2</v>
      </c>
      <c r="N353" s="73">
        <f t="shared" si="58"/>
        <v>4.2117432905364689</v>
      </c>
      <c r="O353" s="474">
        <f t="shared" si="59"/>
        <v>2.7207741556556967E-3</v>
      </c>
    </row>
    <row r="354" spans="1:15" x14ac:dyDescent="0.25">
      <c r="B354" s="506">
        <f t="shared" si="64"/>
        <v>2.9482203033755274</v>
      </c>
      <c r="C354" s="510">
        <f>MIN($AN$26:$AN$43)</f>
        <v>-0.17695218260859913</v>
      </c>
      <c r="D354" s="510">
        <f t="shared" si="62"/>
        <v>1.7689321820253163</v>
      </c>
      <c r="E354" s="506">
        <f t="shared" si="63"/>
        <v>1</v>
      </c>
      <c r="F354" s="70">
        <f t="shared" si="48"/>
        <v>3.0244876463070947</v>
      </c>
      <c r="G354" s="70">
        <f t="shared" si="49"/>
        <v>1.095172778445015E-2</v>
      </c>
      <c r="H354" s="70">
        <f t="shared" si="50"/>
        <v>3.3123365389787648E-2</v>
      </c>
      <c r="I354" s="70">
        <f t="shared" si="51"/>
        <v>0</v>
      </c>
      <c r="J354" s="70">
        <v>0</v>
      </c>
      <c r="K354" s="70">
        <f t="shared" si="55"/>
        <v>2.0167453643840927E-3</v>
      </c>
      <c r="L354" s="70">
        <f t="shared" si="56"/>
        <v>3.2585497103045175E-2</v>
      </c>
      <c r="N354" s="73">
        <f t="shared" si="58"/>
        <v>4.4223304550632925</v>
      </c>
      <c r="O354" s="474">
        <f t="shared" si="59"/>
        <v>2.9054842935189841E-3</v>
      </c>
    </row>
    <row r="355" spans="1:15" x14ac:dyDescent="0.25">
      <c r="B355" s="506">
        <f t="shared" si="64"/>
        <v>3.158807467902351</v>
      </c>
      <c r="C355" s="510">
        <f t="shared" si="61"/>
        <v>-0.17695218260859913</v>
      </c>
      <c r="D355" s="510">
        <f t="shared" si="62"/>
        <v>1.7689321820253163</v>
      </c>
      <c r="E355" s="506">
        <f t="shared" si="63"/>
        <v>1</v>
      </c>
      <c r="F355" s="70">
        <f t="shared" si="48"/>
        <v>3.0244876463070947</v>
      </c>
      <c r="G355" s="70">
        <f t="shared" si="49"/>
        <v>1.095172778445015E-2</v>
      </c>
      <c r="H355" s="70">
        <f t="shared" si="50"/>
        <v>3.3123365389787648E-2</v>
      </c>
      <c r="I355" s="70">
        <f t="shared" si="51"/>
        <v>0</v>
      </c>
      <c r="J355" s="70">
        <v>0</v>
      </c>
      <c r="K355" s="70">
        <f t="shared" si="55"/>
        <v>1.4794693205048767E-3</v>
      </c>
      <c r="L355" s="70">
        <f t="shared" si="56"/>
        <v>2.3904477039459474E-2</v>
      </c>
      <c r="N355" s="73"/>
    </row>
    <row r="356" spans="1:15" x14ac:dyDescent="0.25">
      <c r="B356" s="506">
        <f t="shared" si="64"/>
        <v>3.3693946324291746</v>
      </c>
      <c r="C356" s="510">
        <f t="shared" si="61"/>
        <v>-0.17695218260859913</v>
      </c>
      <c r="D356" s="510">
        <f t="shared" si="62"/>
        <v>1.7689321820253163</v>
      </c>
      <c r="E356" s="506">
        <f t="shared" si="63"/>
        <v>1</v>
      </c>
      <c r="F356" s="70">
        <f t="shared" si="48"/>
        <v>3.0244876463070947</v>
      </c>
      <c r="G356" s="70">
        <f t="shared" si="49"/>
        <v>1.095172778445015E-2</v>
      </c>
      <c r="H356" s="70">
        <f t="shared" si="50"/>
        <v>3.3123365389787648E-2</v>
      </c>
      <c r="I356" s="70">
        <f t="shared" si="51"/>
        <v>0</v>
      </c>
      <c r="J356" s="70">
        <v>0</v>
      </c>
      <c r="K356" s="70">
        <f t="shared" si="55"/>
        <v>1.0249073356917923E-3</v>
      </c>
      <c r="L356" s="70">
        <f t="shared" si="56"/>
        <v>1.6559906673331574E-2</v>
      </c>
      <c r="N356" s="73"/>
    </row>
    <row r="357" spans="1:15" x14ac:dyDescent="0.25">
      <c r="B357" s="506">
        <f t="shared" si="64"/>
        <v>3.5799817969559982</v>
      </c>
      <c r="C357" s="510">
        <f t="shared" si="61"/>
        <v>-0.17695218260859913</v>
      </c>
      <c r="D357" s="510">
        <f t="shared" si="62"/>
        <v>1.7689321820253163</v>
      </c>
      <c r="E357" s="506">
        <f t="shared" si="63"/>
        <v>1</v>
      </c>
      <c r="F357" s="70">
        <f t="shared" si="48"/>
        <v>3.0244876463070947</v>
      </c>
      <c r="G357" s="70">
        <f t="shared" si="49"/>
        <v>1.095172778445015E-2</v>
      </c>
      <c r="H357" s="70">
        <f t="shared" si="50"/>
        <v>3.3123365389787648E-2</v>
      </c>
      <c r="I357" s="70">
        <f t="shared" si="51"/>
        <v>0</v>
      </c>
      <c r="J357" s="70">
        <v>0</v>
      </c>
      <c r="K357" s="70">
        <f t="shared" si="55"/>
        <v>6.536216426897036E-4</v>
      </c>
      <c r="L357" s="70">
        <f t="shared" si="56"/>
        <v>1.0560870261802973E-2</v>
      </c>
    </row>
    <row r="358" spans="1:15" x14ac:dyDescent="0.25">
      <c r="B358" s="506">
        <f t="shared" si="64"/>
        <v>3.7905689614828217</v>
      </c>
      <c r="C358" s="510">
        <f t="shared" si="61"/>
        <v>-0.17695218260859913</v>
      </c>
      <c r="D358" s="510">
        <f t="shared" si="62"/>
        <v>1.7689321820253163</v>
      </c>
      <c r="E358" s="506">
        <f t="shared" si="63"/>
        <v>1</v>
      </c>
      <c r="F358" s="70">
        <f t="shared" si="48"/>
        <v>3.0244876463070947</v>
      </c>
      <c r="G358" s="70">
        <f t="shared" si="49"/>
        <v>1.095172778445015E-2</v>
      </c>
      <c r="H358" s="70">
        <f t="shared" si="50"/>
        <v>3.3123365389787648E-2</v>
      </c>
      <c r="I358" s="70">
        <f t="shared" si="51"/>
        <v>0</v>
      </c>
      <c r="J358" s="70">
        <v>0</v>
      </c>
      <c r="K358" s="70">
        <f t="shared" si="55"/>
        <v>3.6589115787635101E-4</v>
      </c>
      <c r="L358" s="70">
        <f t="shared" si="56"/>
        <v>5.9118743871023347E-3</v>
      </c>
    </row>
    <row r="359" spans="1:15" x14ac:dyDescent="0.25">
      <c r="B359" s="506">
        <f t="shared" si="64"/>
        <v>4.0011561260096453</v>
      </c>
      <c r="C359" s="510">
        <f t="shared" si="61"/>
        <v>-0.17695218260859913</v>
      </c>
      <c r="D359" s="510">
        <f t="shared" si="62"/>
        <v>1.7689321820253163</v>
      </c>
      <c r="E359" s="506">
        <f t="shared" si="63"/>
        <v>1</v>
      </c>
      <c r="F359" s="70">
        <f t="shared" si="48"/>
        <v>3.0244876463070947</v>
      </c>
      <c r="G359" s="70">
        <f t="shared" si="49"/>
        <v>1.095172778445015E-2</v>
      </c>
      <c r="H359" s="70">
        <f t="shared" si="50"/>
        <v>3.3123365389787648E-2</v>
      </c>
      <c r="I359" s="70">
        <f t="shared" si="51"/>
        <v>0</v>
      </c>
      <c r="J359" s="70">
        <v>0</v>
      </c>
      <c r="K359" s="70">
        <f t="shared" si="55"/>
        <v>1.6159396669316456E-4</v>
      </c>
      <c r="L359" s="70">
        <f t="shared" si="56"/>
        <v>2.6109492187467082E-3</v>
      </c>
    </row>
    <row r="360" spans="1:15" x14ac:dyDescent="0.25">
      <c r="B360" s="506">
        <f t="shared" si="64"/>
        <v>4.2117432905364689</v>
      </c>
      <c r="C360" s="510">
        <f t="shared" si="61"/>
        <v>-0.17695218260859913</v>
      </c>
      <c r="D360" s="510">
        <f t="shared" si="62"/>
        <v>1.7689321820253163</v>
      </c>
      <c r="E360" s="506">
        <f t="shared" si="63"/>
        <v>1</v>
      </c>
      <c r="F360" s="70">
        <f t="shared" si="48"/>
        <v>3.0244876463070947</v>
      </c>
      <c r="G360" s="70">
        <f t="shared" si="49"/>
        <v>1.095172778445015E-2</v>
      </c>
      <c r="H360" s="70">
        <f t="shared" si="50"/>
        <v>3.3123365389787648E-2</v>
      </c>
      <c r="I360" s="70">
        <f t="shared" si="51"/>
        <v>0</v>
      </c>
      <c r="J360" s="70">
        <v>0</v>
      </c>
      <c r="K360" s="70">
        <f t="shared" si="55"/>
        <v>4.0075156949460899E-5</v>
      </c>
      <c r="L360" s="70">
        <f t="shared" si="56"/>
        <v>6.47513034487399E-4</v>
      </c>
    </row>
    <row r="361" spans="1:15" x14ac:dyDescent="0.25">
      <c r="B361" s="506">
        <f t="shared" si="64"/>
        <v>4.4223304550632925</v>
      </c>
      <c r="C361" s="510">
        <f t="shared" si="61"/>
        <v>-0.17695218260859913</v>
      </c>
      <c r="D361" s="510">
        <f t="shared" si="62"/>
        <v>1.7689321820253163</v>
      </c>
      <c r="E361" s="506">
        <f t="shared" si="63"/>
        <v>1</v>
      </c>
      <c r="F361" s="70">
        <f t="shared" si="48"/>
        <v>3.0244876463070947</v>
      </c>
      <c r="G361" s="70">
        <f t="shared" si="49"/>
        <v>1.095172778445015E-2</v>
      </c>
      <c r="H361" s="70">
        <f t="shared" si="50"/>
        <v>3.3123365389787648E-2</v>
      </c>
      <c r="I361" s="70">
        <f t="shared" si="51"/>
        <v>0</v>
      </c>
      <c r="J361" s="70">
        <v>0</v>
      </c>
      <c r="K361" s="70">
        <f>$E$144+((($J$47*B361^6)/(6*5))+(($K$47*B361^5)/(5*4))+(($L$47*B361^4)/(4*3))+(($M$47*B361^3)/(3*2))+($N$47*B361^2)/(2))-$E$117*B361</f>
        <v>0</v>
      </c>
      <c r="L361" s="70">
        <f t="shared" si="56"/>
        <v>0</v>
      </c>
    </row>
    <row r="362" spans="1:15" s="231" customFormat="1" ht="15.75" thickBot="1" x14ac:dyDescent="0.3">
      <c r="C362" s="514"/>
    </row>
    <row r="363" spans="1:15" x14ac:dyDescent="0.25">
      <c r="C363" s="72"/>
      <c r="D363" s="510"/>
    </row>
    <row r="364" spans="1:15" x14ac:dyDescent="0.25">
      <c r="A364" s="474" t="s">
        <v>2330</v>
      </c>
      <c r="C364" s="72" t="s">
        <v>2335</v>
      </c>
      <c r="D364" s="474">
        <f>B12/B11</f>
        <v>16.661112962345886</v>
      </c>
      <c r="F364" s="474" t="s">
        <v>2336</v>
      </c>
      <c r="G364" s="474">
        <v>0.33300000000000002</v>
      </c>
      <c r="H364" s="474" t="s">
        <v>2337</v>
      </c>
      <c r="I364" s="474">
        <v>0.33300000000000002</v>
      </c>
    </row>
    <row r="365" spans="1:15" x14ac:dyDescent="0.25">
      <c r="A365" s="474" t="s">
        <v>2333</v>
      </c>
      <c r="B365" s="474">
        <f>-(B12*0.25-H307)*U2</f>
        <v>-0.34028207074332156</v>
      </c>
      <c r="C365" s="72" t="s">
        <v>2334</v>
      </c>
    </row>
    <row r="366" spans="1:15" x14ac:dyDescent="0.25">
      <c r="A366" s="474" t="s">
        <v>2338</v>
      </c>
      <c r="B366" s="474">
        <f>B365/(G364*I364*B11^2)</f>
        <v>-3.7976184427299033</v>
      </c>
      <c r="C366" s="72"/>
    </row>
    <row r="367" spans="1:15" x14ac:dyDescent="0.25">
      <c r="C367" s="72"/>
    </row>
    <row r="368" spans="1:15" x14ac:dyDescent="0.25">
      <c r="C368" s="72"/>
    </row>
    <row r="369" spans="1:33" x14ac:dyDescent="0.25">
      <c r="A369" s="474" t="s">
        <v>2339</v>
      </c>
    </row>
    <row r="370" spans="1:33" s="231" customFormat="1" ht="15.75" thickBot="1" x14ac:dyDescent="0.3"/>
    <row r="371" spans="1:33" s="42" customFormat="1" x14ac:dyDescent="0.25">
      <c r="A371" s="42" t="s">
        <v>2301</v>
      </c>
    </row>
    <row r="372" spans="1:33" x14ac:dyDescent="0.25">
      <c r="A372" s="474" t="s">
        <v>2289</v>
      </c>
      <c r="B372" s="474" t="s">
        <v>2290</v>
      </c>
      <c r="C372" s="474" t="s">
        <v>2303</v>
      </c>
      <c r="D372" s="474" t="s">
        <v>2304</v>
      </c>
    </row>
    <row r="373" spans="1:33" ht="15.75" thickBot="1" x14ac:dyDescent="0.3">
      <c r="A373" s="515">
        <v>0</v>
      </c>
      <c r="B373" s="515">
        <v>7.684635890727683E-3</v>
      </c>
      <c r="C373" s="474">
        <f>A373*100/$Z$2</f>
        <v>0</v>
      </c>
      <c r="D373" s="474">
        <f t="shared" ref="D373:D436" si="65">B373*$AB$8</f>
        <v>1.7275748676540117E-3</v>
      </c>
    </row>
    <row r="374" spans="1:33" ht="17.25" customHeight="1" thickBot="1" x14ac:dyDescent="0.3">
      <c r="A374" s="515">
        <v>3.7442397852869192E-4</v>
      </c>
      <c r="B374" s="515">
        <v>7.6846119786720523E-3</v>
      </c>
      <c r="C374" s="474">
        <f t="shared" ref="C374:C437" si="66">A374*100/$Z$2</f>
        <v>1.4741101516877636E-2</v>
      </c>
      <c r="D374" s="474">
        <f t="shared" si="65"/>
        <v>1.7275694920100737E-3</v>
      </c>
      <c r="K374" t="s">
        <v>2340</v>
      </c>
      <c r="R374" s="21" t="s">
        <v>705</v>
      </c>
      <c r="S374" s="9" t="s">
        <v>706</v>
      </c>
      <c r="T374" s="9" t="s">
        <v>707</v>
      </c>
      <c r="U374" s="9" t="s">
        <v>708</v>
      </c>
      <c r="V374" s="9" t="s">
        <v>709</v>
      </c>
      <c r="W374" s="9"/>
      <c r="X374" s="9"/>
      <c r="Y374" s="9"/>
      <c r="Z374" s="9"/>
      <c r="AA374" s="10"/>
      <c r="AC374" s="20" t="s">
        <v>705</v>
      </c>
      <c r="AD374" s="7" t="s">
        <v>706</v>
      </c>
      <c r="AE374" s="7" t="s">
        <v>707</v>
      </c>
      <c r="AF374" s="7" t="s">
        <v>708</v>
      </c>
      <c r="AG374" s="7" t="s">
        <v>709</v>
      </c>
    </row>
    <row r="375" spans="1:33" ht="17.25" x14ac:dyDescent="0.25">
      <c r="A375" s="515">
        <v>7.4884795705738383E-4</v>
      </c>
      <c r="B375" s="515">
        <v>7.6845402417080721E-3</v>
      </c>
      <c r="C375" s="474">
        <f t="shared" si="66"/>
        <v>2.9482203033755271E-2</v>
      </c>
      <c r="D375" s="474">
        <f t="shared" si="65"/>
        <v>1.7275533648990673E-3</v>
      </c>
      <c r="M375" s="22" t="s">
        <v>2307</v>
      </c>
      <c r="N375" t="s">
        <v>2340</v>
      </c>
      <c r="O375" s="474" t="s">
        <v>2308</v>
      </c>
      <c r="R375" s="11" t="str">
        <f>MID($N375,FIND(W375,$N375)-6,6)</f>
        <v>-7E-06</v>
      </c>
      <c r="S375" s="7" t="str">
        <f>MID($N375,FIND(X375,$N375)-5,5)</f>
        <v>5E-05</v>
      </c>
      <c r="T375" s="7" t="str">
        <f>MID($N375,FIND(Y375,$N375)-5,5)</f>
        <v>.0001</v>
      </c>
      <c r="U375" s="7" t="str">
        <f>MID($N375,FIND(Z375,$N375)-5,5)</f>
        <v>9E-05</v>
      </c>
      <c r="V375" s="7" t="str">
        <f>RIGHT(N375,6)</f>
        <v>0.0017</v>
      </c>
      <c r="W375" s="7" t="s">
        <v>710</v>
      </c>
      <c r="X375" s="7" t="s">
        <v>711</v>
      </c>
      <c r="Y375" s="7" t="s">
        <v>712</v>
      </c>
      <c r="Z375" s="7" t="s">
        <v>728</v>
      </c>
      <c r="AA375" s="12"/>
      <c r="AC375" s="7" t="str">
        <f>R375</f>
        <v>-7E-06</v>
      </c>
      <c r="AD375" s="7" t="str">
        <f t="shared" ref="AD375:AF375" si="67">S375</f>
        <v>5E-05</v>
      </c>
      <c r="AE375" s="7">
        <f>-T375</f>
        <v>-1E-4</v>
      </c>
      <c r="AF375" s="7" t="str">
        <f t="shared" si="67"/>
        <v>9E-05</v>
      </c>
      <c r="AG375" s="7" t="str">
        <f>V375</f>
        <v>0.0017</v>
      </c>
    </row>
    <row r="376" spans="1:33" x14ac:dyDescent="0.25">
      <c r="A376" s="515">
        <v>1.1232719355860757E-3</v>
      </c>
      <c r="B376" s="515">
        <v>7.6844206774443445E-3</v>
      </c>
      <c r="C376" s="474">
        <f t="shared" si="66"/>
        <v>4.4223304550632898E-2</v>
      </c>
      <c r="D376" s="474">
        <f t="shared" si="65"/>
        <v>1.7275264857833847E-3</v>
      </c>
      <c r="M376" s="23"/>
      <c r="R376" s="11"/>
      <c r="S376" s="7"/>
      <c r="T376" s="7"/>
      <c r="U376" s="7"/>
      <c r="V376" s="7"/>
      <c r="W376" s="7"/>
      <c r="X376" s="7"/>
      <c r="Y376" s="7"/>
      <c r="Z376" s="7"/>
      <c r="AA376" s="12"/>
      <c r="AC376" s="7"/>
      <c r="AD376" s="7"/>
      <c r="AE376" s="7"/>
      <c r="AF376" s="7"/>
      <c r="AG376" s="7"/>
    </row>
    <row r="377" spans="1:33" ht="15.75" thickBot="1" x14ac:dyDescent="0.3">
      <c r="A377" s="515">
        <v>1.4976959141147677E-3</v>
      </c>
      <c r="B377" s="515">
        <v>7.6842532818947613E-3</v>
      </c>
      <c r="C377" s="474">
        <f t="shared" si="66"/>
        <v>5.8964406067510543E-2</v>
      </c>
      <c r="D377" s="474">
        <f t="shared" si="65"/>
        <v>1.7274888537669134E-3</v>
      </c>
      <c r="M377" s="24"/>
      <c r="R377" s="13"/>
      <c r="S377" s="14"/>
      <c r="T377" s="14"/>
      <c r="U377" s="14"/>
      <c r="V377" s="14"/>
      <c r="W377" s="14"/>
      <c r="X377" s="14"/>
      <c r="Y377" s="14"/>
      <c r="Z377" s="14"/>
      <c r="AA377" s="15"/>
      <c r="AC377" s="7"/>
      <c r="AD377" s="7"/>
      <c r="AE377" s="7"/>
      <c r="AF377" s="7"/>
      <c r="AG377" s="7"/>
    </row>
    <row r="378" spans="1:33" x14ac:dyDescent="0.25">
      <c r="A378" s="515">
        <v>1.8721198926434596E-3</v>
      </c>
      <c r="B378" s="515">
        <v>7.6840380494778461E-3</v>
      </c>
      <c r="C378" s="474">
        <f t="shared" si="66"/>
        <v>7.3705507584388166E-2</v>
      </c>
      <c r="D378" s="474">
        <f t="shared" si="65"/>
        <v>1.7274404675948871E-3</v>
      </c>
    </row>
    <row r="379" spans="1:33" x14ac:dyDescent="0.25">
      <c r="A379" s="515">
        <v>2.2465438711721515E-3</v>
      </c>
      <c r="B379" s="515">
        <v>7.6837749730158129E-3</v>
      </c>
      <c r="C379" s="474">
        <f t="shared" si="66"/>
        <v>8.8446609101265797E-2</v>
      </c>
      <c r="D379" s="474">
        <f t="shared" si="65"/>
        <v>1.7273813256536757E-3</v>
      </c>
      <c r="AD379"/>
    </row>
    <row r="380" spans="1:33" x14ac:dyDescent="0.25">
      <c r="A380" s="515">
        <v>2.6209678497008436E-3</v>
      </c>
      <c r="B380" s="515">
        <v>7.683464043733379E-3</v>
      </c>
      <c r="C380" s="474">
        <f t="shared" si="66"/>
        <v>0.10318771061814346</v>
      </c>
      <c r="D380" s="474">
        <f t="shared" si="65"/>
        <v>1.7273114259705174E-3</v>
      </c>
    </row>
    <row r="381" spans="1:33" x14ac:dyDescent="0.25">
      <c r="A381" s="515">
        <v>2.9953918282295353E-3</v>
      </c>
      <c r="B381" s="515">
        <v>7.6831052512562927E-3</v>
      </c>
      <c r="C381" s="474">
        <f t="shared" si="66"/>
        <v>0.11792881213502109</v>
      </c>
      <c r="D381" s="474">
        <f t="shared" si="65"/>
        <v>1.727230766213187E-3</v>
      </c>
    </row>
    <row r="382" spans="1:33" x14ac:dyDescent="0.25">
      <c r="A382" s="515">
        <v>3.369815806758227E-3</v>
      </c>
      <c r="B382" s="515">
        <v>7.682698583609612E-3</v>
      </c>
      <c r="C382" s="474">
        <f t="shared" si="66"/>
        <v>0.1326699136518987</v>
      </c>
      <c r="D382" s="474">
        <f t="shared" si="65"/>
        <v>1.727139343689611E-3</v>
      </c>
    </row>
    <row r="383" spans="1:33" x14ac:dyDescent="0.25">
      <c r="A383" s="515">
        <v>3.7442397852869192E-3</v>
      </c>
      <c r="B383" s="515">
        <v>7.682244027215691E-3</v>
      </c>
      <c r="C383" s="474">
        <f t="shared" si="66"/>
        <v>0.14741101516877633</v>
      </c>
      <c r="D383" s="474">
        <f t="shared" si="65"/>
        <v>1.7270371553474129E-3</v>
      </c>
    </row>
    <row r="384" spans="1:33" x14ac:dyDescent="0.25">
      <c r="A384" s="515">
        <v>4.1186637638156113E-3</v>
      </c>
      <c r="B384" s="515">
        <v>7.6817415668919194E-3</v>
      </c>
      <c r="C384" s="474">
        <f t="shared" si="66"/>
        <v>0.16215211668565399</v>
      </c>
      <c r="D384" s="474">
        <f t="shared" si="65"/>
        <v>1.7269241977734063E-3</v>
      </c>
    </row>
    <row r="385" spans="1:4" x14ac:dyDescent="0.25">
      <c r="A385" s="515">
        <v>4.493087742344303E-3</v>
      </c>
      <c r="B385" s="515">
        <v>7.6811911858481845E-3</v>
      </c>
      <c r="C385" s="474">
        <f t="shared" si="66"/>
        <v>0.17689321820253159</v>
      </c>
      <c r="D385" s="474">
        <f t="shared" si="65"/>
        <v>1.7268004671930235E-3</v>
      </c>
    </row>
    <row r="386" spans="1:4" x14ac:dyDescent="0.25">
      <c r="A386" s="515">
        <v>4.8675117208729947E-3</v>
      </c>
      <c r="B386" s="515">
        <v>7.6805928656840522E-3</v>
      </c>
      <c r="C386" s="474">
        <f t="shared" si="66"/>
        <v>0.19163431971940922</v>
      </c>
      <c r="D386" s="474">
        <f t="shared" si="65"/>
        <v>1.7266659594696826E-3</v>
      </c>
    </row>
    <row r="387" spans="1:4" x14ac:dyDescent="0.25">
      <c r="A387" s="515">
        <v>5.2419356994016873E-3</v>
      </c>
      <c r="B387" s="515">
        <v>7.6799465863856987E-3</v>
      </c>
      <c r="C387" s="474">
        <f t="shared" si="66"/>
        <v>0.20637542123628691</v>
      </c>
      <c r="D387" s="474">
        <f t="shared" si="65"/>
        <v>1.7265206701040968E-3</v>
      </c>
    </row>
    <row r="388" spans="1:4" x14ac:dyDescent="0.25">
      <c r="A388" s="515">
        <v>5.616359677930379E-3</v>
      </c>
      <c r="B388" s="515">
        <v>7.6792523263225412E-3</v>
      </c>
      <c r="C388" s="474">
        <f t="shared" si="66"/>
        <v>0.22111652275316454</v>
      </c>
      <c r="D388" s="474">
        <f t="shared" si="65"/>
        <v>1.7263645942335181E-3</v>
      </c>
    </row>
    <row r="389" spans="1:4" x14ac:dyDescent="0.25">
      <c r="A389" s="515">
        <v>5.9907836564590707E-3</v>
      </c>
      <c r="B389" s="515">
        <v>7.678510062243616E-3</v>
      </c>
      <c r="C389" s="474">
        <f t="shared" si="66"/>
        <v>0.23585762427004217</v>
      </c>
      <c r="D389" s="474">
        <f t="shared" si="65"/>
        <v>1.7261977266309215E-3</v>
      </c>
    </row>
    <row r="390" spans="1:4" x14ac:dyDescent="0.25">
      <c r="A390" s="515">
        <v>6.3652076349877624E-3</v>
      </c>
      <c r="B390" s="515">
        <v>7.6777197692736773E-3</v>
      </c>
      <c r="C390" s="474">
        <f t="shared" si="66"/>
        <v>0.25059872578691977</v>
      </c>
      <c r="D390" s="474">
        <f t="shared" si="65"/>
        <v>1.7260200617041294E-3</v>
      </c>
    </row>
    <row r="391" spans="1:4" x14ac:dyDescent="0.25">
      <c r="A391" s="515">
        <v>6.7396316135164541E-3</v>
      </c>
      <c r="B391" s="515">
        <v>7.6768814209090003E-3</v>
      </c>
      <c r="C391" s="474">
        <f t="shared" si="66"/>
        <v>0.2653398273037974</v>
      </c>
      <c r="D391" s="474">
        <f t="shared" si="65"/>
        <v>1.7258315934948676E-3</v>
      </c>
    </row>
    <row r="392" spans="1:4" x14ac:dyDescent="0.25">
      <c r="A392" s="515">
        <v>7.1140555920451466E-3</v>
      </c>
      <c r="B392" s="515">
        <v>7.6759949890129291E-3</v>
      </c>
      <c r="C392" s="474">
        <f t="shared" si="66"/>
        <v>0.28008092882067503</v>
      </c>
      <c r="D392" s="474">
        <f t="shared" si="65"/>
        <v>1.725632315677764E-3</v>
      </c>
    </row>
    <row r="393" spans="1:4" x14ac:dyDescent="0.25">
      <c r="A393" s="515">
        <v>7.4884795705738383E-3</v>
      </c>
      <c r="B393" s="515">
        <v>7.6750604438111346E-3</v>
      </c>
      <c r="C393" s="474">
        <f t="shared" si="66"/>
        <v>0.29482203033755267</v>
      </c>
      <c r="D393" s="474">
        <f t="shared" si="65"/>
        <v>1.7254222215592834E-3</v>
      </c>
    </row>
    <row r="394" spans="1:4" x14ac:dyDescent="0.25">
      <c r="A394" s="515">
        <v>7.86290354910253E-3</v>
      </c>
      <c r="B394" s="515">
        <v>7.6740777538865813E-3</v>
      </c>
      <c r="C394" s="474">
        <f t="shared" si="66"/>
        <v>0.3095631318544303</v>
      </c>
      <c r="D394" s="474">
        <f t="shared" si="65"/>
        <v>1.7252013040765953E-3</v>
      </c>
    </row>
    <row r="395" spans="1:4" x14ac:dyDescent="0.25">
      <c r="A395" s="515">
        <v>8.2373275276312226E-3</v>
      </c>
      <c r="B395" s="515">
        <v>7.6730468861742201E-3</v>
      </c>
      <c r="C395" s="474">
        <f t="shared" si="66"/>
        <v>0.32430423337130798</v>
      </c>
      <c r="D395" s="474">
        <f t="shared" si="65"/>
        <v>1.7249695557963807E-3</v>
      </c>
    </row>
    <row r="396" spans="1:4" x14ac:dyDescent="0.25">
      <c r="A396" s="515">
        <v>8.6117515061599134E-3</v>
      </c>
      <c r="B396" s="515">
        <v>7.6719678059553927E-3</v>
      </c>
      <c r="C396" s="474">
        <f t="shared" si="66"/>
        <v>0.33904533488818556</v>
      </c>
      <c r="D396" s="474">
        <f t="shared" si="65"/>
        <v>1.724726968913575E-3</v>
      </c>
    </row>
    <row r="397" spans="1:4" x14ac:dyDescent="0.25">
      <c r="A397" s="515">
        <v>8.986175484688606E-3</v>
      </c>
      <c r="B397" s="515">
        <v>7.670840476851945E-3</v>
      </c>
      <c r="C397" s="474">
        <f t="shared" si="66"/>
        <v>0.35378643640506319</v>
      </c>
      <c r="D397" s="474">
        <f t="shared" si="65"/>
        <v>1.7244735352500437E-3</v>
      </c>
    </row>
    <row r="398" spans="1:4" x14ac:dyDescent="0.25">
      <c r="A398" s="515">
        <v>9.3605994632172985E-3</v>
      </c>
      <c r="B398" s="515">
        <v>7.6696648608200399E-3</v>
      </c>
      <c r="C398" s="474">
        <f t="shared" si="66"/>
        <v>0.36852753792194087</v>
      </c>
      <c r="D398" s="474">
        <f t="shared" si="65"/>
        <v>1.7242092462531921E-3</v>
      </c>
    </row>
    <row r="399" spans="1:4" x14ac:dyDescent="0.25">
      <c r="A399" s="515">
        <v>9.7350234417459894E-3</v>
      </c>
      <c r="B399" s="515">
        <v>7.6684409181436968E-3</v>
      </c>
      <c r="C399" s="474">
        <f t="shared" si="66"/>
        <v>0.38326863943881845</v>
      </c>
      <c r="D399" s="474">
        <f t="shared" si="65"/>
        <v>1.7239340929945126E-3</v>
      </c>
    </row>
    <row r="400" spans="1:4" x14ac:dyDescent="0.25">
      <c r="A400" s="515">
        <v>1.0109447420274682E-2</v>
      </c>
      <c r="B400" s="515">
        <v>7.6671686074280213E-3</v>
      </c>
      <c r="C400" s="474">
        <f t="shared" si="66"/>
        <v>0.39800974095569613</v>
      </c>
      <c r="D400" s="474">
        <f t="shared" si="65"/>
        <v>1.7236480661680625E-3</v>
      </c>
    </row>
    <row r="401" spans="1:4" x14ac:dyDescent="0.25">
      <c r="A401" s="515">
        <v>1.0483871398803375E-2</v>
      </c>
      <c r="B401" s="515">
        <v>7.6658478855921273E-3</v>
      </c>
      <c r="C401" s="474">
        <f t="shared" si="66"/>
        <v>0.41275084247257382</v>
      </c>
      <c r="D401" s="474">
        <f t="shared" si="65"/>
        <v>1.723351156088874E-3</v>
      </c>
    </row>
    <row r="402" spans="1:4" x14ac:dyDescent="0.25">
      <c r="A402" s="515">
        <v>1.0858295377332065E-2</v>
      </c>
      <c r="B402" s="515">
        <v>7.6644787078617785E-3</v>
      </c>
      <c r="C402" s="474">
        <f t="shared" si="66"/>
        <v>0.4274919439894514</v>
      </c>
      <c r="D402" s="474">
        <f t="shared" si="65"/>
        <v>1.7230433526912977E-3</v>
      </c>
    </row>
    <row r="403" spans="1:4" x14ac:dyDescent="0.25">
      <c r="A403" s="515">
        <v>1.1232719355860758E-2</v>
      </c>
      <c r="B403" s="515">
        <v>7.6630610277617101E-3</v>
      </c>
      <c r="C403" s="474">
        <f t="shared" si="66"/>
        <v>0.44223304550632908</v>
      </c>
      <c r="D403" s="474">
        <f t="shared" si="65"/>
        <v>1.7227246455272789E-3</v>
      </c>
    </row>
    <row r="404" spans="1:4" x14ac:dyDescent="0.25">
      <c r="A404" s="515">
        <v>1.1607143334389449E-2</v>
      </c>
      <c r="B404" s="515">
        <v>7.6615947971076445E-3</v>
      </c>
      <c r="C404" s="474">
        <f t="shared" si="66"/>
        <v>0.45697414702320666</v>
      </c>
      <c r="D404" s="474">
        <f t="shared" si="65"/>
        <v>1.7223950237645609E-3</v>
      </c>
    </row>
    <row r="405" spans="1:4" x14ac:dyDescent="0.25">
      <c r="A405" s="515">
        <v>1.1981567312918141E-2</v>
      </c>
      <c r="B405" s="515">
        <v>7.6600799659979953E-3</v>
      </c>
      <c r="C405" s="474">
        <f t="shared" si="66"/>
        <v>0.47171524854008434</v>
      </c>
      <c r="D405" s="474">
        <f t="shared" si="65"/>
        <v>1.7220544761848207E-3</v>
      </c>
    </row>
    <row r="406" spans="1:4" x14ac:dyDescent="0.25">
      <c r="A406" s="515">
        <v>1.2355991291446834E-2</v>
      </c>
      <c r="B406" s="515">
        <v>7.6585164828052582E-3</v>
      </c>
      <c r="C406" s="474">
        <f t="shared" si="66"/>
        <v>0.48645635005696192</v>
      </c>
      <c r="D406" s="474">
        <f t="shared" si="65"/>
        <v>1.7217029911817342E-3</v>
      </c>
    </row>
    <row r="407" spans="1:4" x14ac:dyDescent="0.25">
      <c r="A407" s="515">
        <v>1.2730415269975525E-2</v>
      </c>
      <c r="B407" s="515">
        <v>7.6569042941670943E-3</v>
      </c>
      <c r="C407" s="474">
        <f t="shared" si="66"/>
        <v>0.50119745157383955</v>
      </c>
      <c r="D407" s="474">
        <f t="shared" si="65"/>
        <v>1.7213405567589699E-3</v>
      </c>
    </row>
    <row r="408" spans="1:4" x14ac:dyDescent="0.25">
      <c r="A408" s="515">
        <v>1.3104839248504217E-2</v>
      </c>
      <c r="B408" s="515">
        <v>7.6552433449770651E-3</v>
      </c>
      <c r="C408" s="474">
        <f t="shared" si="66"/>
        <v>0.51593855309071712</v>
      </c>
      <c r="D408" s="474">
        <f t="shared" si="65"/>
        <v>1.7209671605281078E-3</v>
      </c>
    </row>
    <row r="409" spans="1:4" x14ac:dyDescent="0.25">
      <c r="A409" s="515">
        <v>1.3479263227032908E-2</v>
      </c>
      <c r="B409" s="515">
        <v>7.6535335783750637E-3</v>
      </c>
      <c r="C409" s="474">
        <f t="shared" si="66"/>
        <v>0.53067965460759481</v>
      </c>
      <c r="D409" s="474">
        <f t="shared" si="65"/>
        <v>1.7205827897064875E-3</v>
      </c>
    </row>
    <row r="410" spans="1:4" x14ac:dyDescent="0.25">
      <c r="A410" s="515">
        <v>1.3853687205561601E-2</v>
      </c>
      <c r="B410" s="515">
        <v>7.6517749357374164E-3</v>
      </c>
      <c r="C410" s="474">
        <f t="shared" si="66"/>
        <v>0.54542075612447238</v>
      </c>
      <c r="D410" s="474">
        <f t="shared" si="65"/>
        <v>1.7201874311149829E-3</v>
      </c>
    </row>
    <row r="411" spans="1:4" x14ac:dyDescent="0.25">
      <c r="A411" s="515">
        <v>1.4228111184090293E-2</v>
      </c>
      <c r="B411" s="515">
        <v>7.649967356666636E-3</v>
      </c>
      <c r="C411" s="474">
        <f t="shared" si="66"/>
        <v>0.56016185764135007</v>
      </c>
      <c r="D411" s="474">
        <f t="shared" si="65"/>
        <v>1.7197810711756987E-3</v>
      </c>
    </row>
    <row r="412" spans="1:4" x14ac:dyDescent="0.25">
      <c r="A412" s="515">
        <v>1.4602535162618984E-2</v>
      </c>
      <c r="B412" s="515">
        <v>7.6481107789808447E-3</v>
      </c>
      <c r="C412" s="474">
        <f t="shared" si="66"/>
        <v>0.57490295915822764</v>
      </c>
      <c r="D412" s="474">
        <f t="shared" si="65"/>
        <v>1.7193636959095928E-3</v>
      </c>
    </row>
    <row r="413" spans="1:4" x14ac:dyDescent="0.25">
      <c r="A413" s="515">
        <v>1.4976959141147677E-2</v>
      </c>
      <c r="B413" s="515">
        <v>7.6462051387028666E-3</v>
      </c>
      <c r="C413" s="474">
        <f t="shared" si="66"/>
        <v>0.58964406067510533</v>
      </c>
      <c r="D413" s="474">
        <f t="shared" si="65"/>
        <v>1.7189352909340236E-3</v>
      </c>
    </row>
    <row r="414" spans="1:4" x14ac:dyDescent="0.25">
      <c r="A414" s="515">
        <v>1.5351383119676369E-2</v>
      </c>
      <c r="B414" s="515">
        <v>7.6442503700489481E-3</v>
      </c>
      <c r="C414" s="474">
        <f t="shared" si="66"/>
        <v>0.60438516219198302</v>
      </c>
      <c r="D414" s="474">
        <f t="shared" si="65"/>
        <v>1.7184958414602155E-3</v>
      </c>
    </row>
    <row r="415" spans="1:4" x14ac:dyDescent="0.25">
      <c r="A415" s="515">
        <v>1.572580709820506E-2</v>
      </c>
      <c r="B415" s="515">
        <v>7.6422464054171496E-3</v>
      </c>
      <c r="C415" s="474">
        <f t="shared" si="66"/>
        <v>0.61912626370886059</v>
      </c>
      <c r="D415" s="474">
        <f t="shared" si="65"/>
        <v>1.7180453322906478E-3</v>
      </c>
    </row>
    <row r="416" spans="1:4" x14ac:dyDescent="0.25">
      <c r="A416" s="515">
        <v>1.6100231076733751E-2</v>
      </c>
      <c r="B416" s="515">
        <v>7.640193175375367E-3</v>
      </c>
      <c r="C416" s="474">
        <f t="shared" si="66"/>
        <v>0.63386736522573817</v>
      </c>
      <c r="D416" s="474">
        <f t="shared" si="65"/>
        <v>1.7175837478163624E-3</v>
      </c>
    </row>
    <row r="417" spans="1:4" x14ac:dyDescent="0.25">
      <c r="A417" s="515">
        <v>1.6474655055262445E-2</v>
      </c>
      <c r="B417" s="515">
        <v>7.6380906086489977E-3</v>
      </c>
      <c r="C417" s="474">
        <f t="shared" si="66"/>
        <v>0.64860846674261596</v>
      </c>
      <c r="D417" s="474">
        <f t="shared" si="65"/>
        <v>1.7171110720141914E-3</v>
      </c>
    </row>
    <row r="418" spans="1:4" x14ac:dyDescent="0.25">
      <c r="A418" s="515">
        <v>1.6849079033791136E-2</v>
      </c>
      <c r="B418" s="515">
        <v>7.6359386321082409E-3</v>
      </c>
      <c r="C418" s="474">
        <f t="shared" si="66"/>
        <v>0.66334956825949354</v>
      </c>
      <c r="D418" s="474">
        <f t="shared" si="65"/>
        <v>1.7166272884439017E-3</v>
      </c>
    </row>
    <row r="419" spans="1:4" x14ac:dyDescent="0.25">
      <c r="A419" s="515">
        <v>1.7223503012319827E-2</v>
      </c>
      <c r="B419" s="515">
        <v>7.6337371707550106E-3</v>
      </c>
      <c r="C419" s="474">
        <f t="shared" si="66"/>
        <v>0.67809066977637111</v>
      </c>
      <c r="D419" s="474">
        <f t="shared" si="65"/>
        <v>1.716132380245253E-3</v>
      </c>
    </row>
    <row r="420" spans="1:4" x14ac:dyDescent="0.25">
      <c r="A420" s="515">
        <v>1.7597926990848521E-2</v>
      </c>
      <c r="B420" s="515">
        <v>7.6314861477095059E-3</v>
      </c>
      <c r="C420" s="474">
        <f t="shared" si="66"/>
        <v>0.6928317712932488</v>
      </c>
      <c r="D420" s="474">
        <f t="shared" si="65"/>
        <v>1.7156263301349782E-3</v>
      </c>
    </row>
    <row r="421" spans="1:4" x14ac:dyDescent="0.25">
      <c r="A421" s="515">
        <v>1.7972350969377212E-2</v>
      </c>
      <c r="B421" s="515">
        <v>7.6291854841963515E-3</v>
      </c>
      <c r="C421" s="474">
        <f t="shared" si="66"/>
        <v>0.70757287281012637</v>
      </c>
      <c r="D421" s="474">
        <f t="shared" si="65"/>
        <v>1.7151091204036688E-3</v>
      </c>
    </row>
    <row r="422" spans="1:4" x14ac:dyDescent="0.25">
      <c r="A422" s="515">
        <v>1.8346774947905903E-2</v>
      </c>
      <c r="B422" s="515">
        <v>7.6268350995303807E-3</v>
      </c>
      <c r="C422" s="474">
        <f t="shared" si="66"/>
        <v>0.72231397432700406</v>
      </c>
      <c r="D422" s="474">
        <f t="shared" si="65"/>
        <v>1.7145807329125777E-3</v>
      </c>
    </row>
    <row r="423" spans="1:4" x14ac:dyDescent="0.25">
      <c r="A423" s="515">
        <v>1.8721198926434597E-2</v>
      </c>
      <c r="B423" s="515">
        <v>7.6244349111020161E-3</v>
      </c>
      <c r="C423" s="474">
        <f t="shared" si="66"/>
        <v>0.73705507584388175</v>
      </c>
      <c r="D423" s="474">
        <f t="shared" si="65"/>
        <v>1.7140411490903331E-3</v>
      </c>
    </row>
    <row r="424" spans="1:4" x14ac:dyDescent="0.25">
      <c r="A424" s="515">
        <v>1.9095622904963288E-2</v>
      </c>
      <c r="B424" s="515">
        <v>7.621984834362246E-3</v>
      </c>
      <c r="C424" s="474">
        <f t="shared" si="66"/>
        <v>0.75179617736075932</v>
      </c>
      <c r="D424" s="474">
        <f t="shared" si="65"/>
        <v>1.713490349929561E-3</v>
      </c>
    </row>
    <row r="425" spans="1:4" x14ac:dyDescent="0.25">
      <c r="A425" s="515">
        <v>1.9470046883491979E-2</v>
      </c>
      <c r="B425" s="515">
        <v>7.6194847828071812E-3</v>
      </c>
      <c r="C425" s="474">
        <f t="shared" si="66"/>
        <v>0.7665372788776369</v>
      </c>
      <c r="D425" s="474">
        <f t="shared" si="65"/>
        <v>1.712928315983414E-3</v>
      </c>
    </row>
    <row r="426" spans="1:4" x14ac:dyDescent="0.25">
      <c r="A426" s="515">
        <v>1.9844470862020673E-2</v>
      </c>
      <c r="B426" s="515">
        <v>7.6169346679622208E-3</v>
      </c>
      <c r="C426" s="474">
        <f t="shared" si="66"/>
        <v>0.78127838039451469</v>
      </c>
      <c r="D426" s="474">
        <f t="shared" si="65"/>
        <v>1.7123550273620103E-3</v>
      </c>
    </row>
    <row r="427" spans="1:4" x14ac:dyDescent="0.25">
      <c r="A427" s="515">
        <v>2.0218894840549364E-2</v>
      </c>
      <c r="B427" s="515">
        <v>7.61433439936577E-3</v>
      </c>
      <c r="C427" s="474">
        <f t="shared" si="66"/>
        <v>0.79601948191139227</v>
      </c>
      <c r="D427" s="474">
        <f t="shared" si="65"/>
        <v>1.7117704637287744E-3</v>
      </c>
    </row>
    <row r="428" spans="1:4" x14ac:dyDescent="0.25">
      <c r="A428" s="515">
        <v>2.0593318819078055E-2</v>
      </c>
      <c r="B428" s="515">
        <v>7.6116838845525434E-3</v>
      </c>
      <c r="C428" s="474">
        <f t="shared" si="66"/>
        <v>0.81076058342826995</v>
      </c>
      <c r="D428" s="474">
        <f t="shared" si="65"/>
        <v>1.7111746042966834E-3</v>
      </c>
    </row>
    <row r="429" spans="1:4" x14ac:dyDescent="0.25">
      <c r="A429" s="515">
        <v>2.0967742797606749E-2</v>
      </c>
      <c r="B429" s="515">
        <v>7.6089830290364292E-3</v>
      </c>
      <c r="C429" s="474">
        <f t="shared" si="66"/>
        <v>0.82550168494514764</v>
      </c>
      <c r="D429" s="474">
        <f t="shared" si="65"/>
        <v>1.7105674278244144E-3</v>
      </c>
    </row>
    <row r="430" spans="1:4" x14ac:dyDescent="0.25">
      <c r="A430" s="515">
        <v>2.134216677613544E-2</v>
      </c>
      <c r="B430" s="515">
        <v>7.6062317362929014E-3</v>
      </c>
      <c r="C430" s="474">
        <f t="shared" si="66"/>
        <v>0.8402427864620251</v>
      </c>
      <c r="D430" s="474">
        <f t="shared" si="65"/>
        <v>1.7099489126123908E-3</v>
      </c>
    </row>
    <row r="431" spans="1:4" x14ac:dyDescent="0.25">
      <c r="A431" s="515">
        <v>2.1716590754664131E-2</v>
      </c>
      <c r="B431" s="515">
        <v>7.6034299077409849E-3</v>
      </c>
      <c r="C431" s="474">
        <f t="shared" si="66"/>
        <v>0.85498388797890279</v>
      </c>
      <c r="D431" s="474">
        <f t="shared" si="65"/>
        <v>1.709319036498728E-3</v>
      </c>
    </row>
    <row r="432" spans="1:4" x14ac:dyDescent="0.25">
      <c r="A432" s="515">
        <v>2.2091014733192822E-2</v>
      </c>
      <c r="B432" s="515">
        <v>7.6005774427247621E-3</v>
      </c>
      <c r="C432" s="474">
        <f t="shared" si="66"/>
        <v>0.86972498949578025</v>
      </c>
      <c r="D432" s="474">
        <f t="shared" si="65"/>
        <v>1.7086777768550753E-3</v>
      </c>
    </row>
    <row r="433" spans="1:4" x14ac:dyDescent="0.25">
      <c r="A433" s="515">
        <v>2.2465438711721516E-2</v>
      </c>
      <c r="B433" s="515">
        <v>7.5976742384944E-3</v>
      </c>
      <c r="C433" s="474">
        <f t="shared" si="66"/>
        <v>0.88446609101265816</v>
      </c>
      <c r="D433" s="474">
        <f t="shared" si="65"/>
        <v>1.7080251105823516E-3</v>
      </c>
    </row>
    <row r="434" spans="1:4" x14ac:dyDescent="0.25">
      <c r="A434" s="515">
        <v>2.2839862690250207E-2</v>
      </c>
      <c r="B434" s="515">
        <v>7.5947201901867076E-3</v>
      </c>
      <c r="C434" s="474">
        <f t="shared" si="66"/>
        <v>0.89920719252953563</v>
      </c>
      <c r="D434" s="474">
        <f t="shared" si="65"/>
        <v>1.7073610141063737E-3</v>
      </c>
    </row>
    <row r="435" spans="1:4" x14ac:dyDescent="0.25">
      <c r="A435" s="515">
        <v>2.3214286668778897E-2</v>
      </c>
      <c r="B435" s="515">
        <v>7.5917151908052056E-3</v>
      </c>
      <c r="C435" s="474">
        <f t="shared" si="66"/>
        <v>0.91394829404641331</v>
      </c>
      <c r="D435" s="474">
        <f t="shared" si="65"/>
        <v>1.7066854633733762E-3</v>
      </c>
    </row>
    <row r="436" spans="1:4" x14ac:dyDescent="0.25">
      <c r="A436" s="515">
        <v>2.3588710647307592E-2</v>
      </c>
      <c r="B436" s="515">
        <v>7.5886591311996911E-3</v>
      </c>
      <c r="C436" s="474">
        <f t="shared" si="66"/>
        <v>0.928689395563291</v>
      </c>
      <c r="D436" s="474">
        <f t="shared" si="65"/>
        <v>1.7059984338454177E-3</v>
      </c>
    </row>
    <row r="437" spans="1:4" x14ac:dyDescent="0.25">
      <c r="A437" s="515">
        <v>2.3963134625836283E-2</v>
      </c>
      <c r="B437" s="515">
        <v>7.5855519000453137E-3</v>
      </c>
      <c r="C437" s="474">
        <f t="shared" si="66"/>
        <v>0.94343049708016868</v>
      </c>
      <c r="D437" s="474">
        <f t="shared" ref="D437:D500" si="68">B437*$AB$8</f>
        <v>1.7052999004956763E-3</v>
      </c>
    </row>
    <row r="438" spans="1:4" x14ac:dyDescent="0.25">
      <c r="A438" s="515">
        <v>2.4337558604364973E-2</v>
      </c>
      <c r="B438" s="515">
        <v>7.5823933838211101E-3</v>
      </c>
      <c r="C438" s="474">
        <f t="shared" ref="C438:C501" si="69">A438*100/$Z$2</f>
        <v>0.95817159859704615</v>
      </c>
      <c r="D438" s="474">
        <f t="shared" si="68"/>
        <v>1.7045898378036241E-3</v>
      </c>
    </row>
    <row r="439" spans="1:4" x14ac:dyDescent="0.25">
      <c r="A439" s="515">
        <v>2.4711982582893668E-2</v>
      </c>
      <c r="B439" s="515">
        <v>7.5791834667880403E-3</v>
      </c>
      <c r="C439" s="474">
        <f t="shared" si="69"/>
        <v>0.97291270011392383</v>
      </c>
      <c r="D439" s="474">
        <f t="shared" si="68"/>
        <v>1.7038682197500897E-3</v>
      </c>
    </row>
    <row r="440" spans="1:4" x14ac:dyDescent="0.25">
      <c r="A440" s="515">
        <v>2.5086406561422359E-2</v>
      </c>
      <c r="B440" s="515">
        <v>7.5759220309664678E-3</v>
      </c>
      <c r="C440" s="474">
        <f t="shared" si="69"/>
        <v>0.98765380163080152</v>
      </c>
      <c r="D440" s="474">
        <f t="shared" si="68"/>
        <v>1.7031350198121963E-3</v>
      </c>
    </row>
    <row r="441" spans="1:4" x14ac:dyDescent="0.25">
      <c r="A441" s="515">
        <v>2.5460830539951049E-2</v>
      </c>
      <c r="B441" s="515">
        <v>7.572608956113093E-3</v>
      </c>
      <c r="C441" s="474">
        <f t="shared" si="69"/>
        <v>1.0023949031476791</v>
      </c>
      <c r="D441" s="474">
        <f t="shared" si="68"/>
        <v>1.7023902109581748E-3</v>
      </c>
    </row>
    <row r="442" spans="1:4" x14ac:dyDescent="0.25">
      <c r="A442" s="515">
        <v>2.5835254518479744E-2</v>
      </c>
      <c r="B442" s="515">
        <v>7.5692441196973468E-3</v>
      </c>
      <c r="C442" s="474">
        <f t="shared" si="69"/>
        <v>1.0171360046645568</v>
      </c>
      <c r="D442" s="474">
        <f t="shared" si="68"/>
        <v>1.7016337656420571E-3</v>
      </c>
    </row>
    <row r="443" spans="1:4" x14ac:dyDescent="0.25">
      <c r="A443" s="515">
        <v>2.6209678497008435E-2</v>
      </c>
      <c r="B443" s="515">
        <v>7.5658273968771932E-3</v>
      </c>
      <c r="C443" s="474">
        <f t="shared" si="69"/>
        <v>1.0318771061814342</v>
      </c>
      <c r="D443" s="474">
        <f t="shared" si="68"/>
        <v>1.7008656557982375E-3</v>
      </c>
    </row>
    <row r="444" spans="1:4" x14ac:dyDescent="0.25">
      <c r="A444" s="515">
        <v>2.6584102475537125E-2</v>
      </c>
      <c r="B444" s="515">
        <v>7.5623586604743609E-3</v>
      </c>
      <c r="C444" s="474">
        <f t="shared" si="69"/>
        <v>1.0466182076983119</v>
      </c>
      <c r="D444" s="474">
        <f t="shared" si="68"/>
        <v>1.7000858528359033E-3</v>
      </c>
    </row>
    <row r="445" spans="1:4" x14ac:dyDescent="0.25">
      <c r="A445" s="515">
        <v>2.6958526454065816E-2</v>
      </c>
      <c r="B445" s="515">
        <v>7.5588377809489762E-3</v>
      </c>
      <c r="C445" s="474">
        <f t="shared" si="69"/>
        <v>1.0613593092151896</v>
      </c>
      <c r="D445" s="474">
        <f t="shared" si="68"/>
        <v>1.6992943276333322E-3</v>
      </c>
    </row>
    <row r="446" spans="1:4" x14ac:dyDescent="0.25">
      <c r="A446" s="515">
        <v>2.7332950432594511E-2</v>
      </c>
      <c r="B446" s="515">
        <v>7.5552646263735944E-3</v>
      </c>
      <c r="C446" s="474">
        <f t="shared" si="69"/>
        <v>1.0761004107320673</v>
      </c>
      <c r="D446" s="474">
        <f t="shared" si="68"/>
        <v>1.6984910505320554E-3</v>
      </c>
    </row>
    <row r="447" spans="1:4" x14ac:dyDescent="0.25">
      <c r="A447" s="515">
        <v>2.7707374411123201E-2</v>
      </c>
      <c r="B447" s="515">
        <v>7.5516390624066135E-3</v>
      </c>
      <c r="C447" s="474">
        <f t="shared" si="69"/>
        <v>1.0908415122489448</v>
      </c>
      <c r="D447" s="474">
        <f t="shared" si="68"/>
        <v>1.697675991330879E-3</v>
      </c>
    </row>
    <row r="448" spans="1:4" x14ac:dyDescent="0.25">
      <c r="A448" s="515">
        <v>2.8081798389651892E-2</v>
      </c>
      <c r="B448" s="515">
        <v>7.547960952265044E-3</v>
      </c>
      <c r="C448" s="474">
        <f t="shared" si="69"/>
        <v>1.1055826137658225</v>
      </c>
      <c r="D448" s="474">
        <f t="shared" si="68"/>
        <v>1.6968491192797639E-3</v>
      </c>
    </row>
    <row r="449" spans="1:4" x14ac:dyDescent="0.25">
      <c r="A449" s="515">
        <v>2.8456222368180586E-2</v>
      </c>
      <c r="B449" s="515">
        <v>7.5442301566966442E-3</v>
      </c>
      <c r="C449" s="474">
        <f t="shared" si="69"/>
        <v>1.1203237152827001</v>
      </c>
      <c r="D449" s="474">
        <f t="shared" si="68"/>
        <v>1.6960104030735608E-3</v>
      </c>
    </row>
    <row r="450" spans="1:4" x14ac:dyDescent="0.25">
      <c r="A450" s="515">
        <v>2.8830646346709277E-2</v>
      </c>
      <c r="B450" s="515">
        <v>7.5404465339513893E-3</v>
      </c>
      <c r="C450" s="474">
        <f t="shared" si="69"/>
        <v>1.1350648167995778</v>
      </c>
      <c r="D450" s="474">
        <f t="shared" si="68"/>
        <v>1.6951598108455967E-3</v>
      </c>
    </row>
    <row r="451" spans="1:4" x14ac:dyDescent="0.25">
      <c r="A451" s="515">
        <v>2.9205070325237968E-2</v>
      </c>
      <c r="B451" s="515">
        <v>7.5366099397522722E-3</v>
      </c>
      <c r="C451" s="474">
        <f t="shared" si="69"/>
        <v>1.1498059183164553</v>
      </c>
      <c r="D451" s="474">
        <f t="shared" si="68"/>
        <v>1.6942973101611103E-3</v>
      </c>
    </row>
    <row r="452" spans="1:4" x14ac:dyDescent="0.25">
      <c r="A452" s="515">
        <v>2.9579494303766662E-2</v>
      </c>
      <c r="B452" s="515">
        <v>7.5327202272654006E-3</v>
      </c>
      <c r="C452" s="474">
        <f t="shared" si="69"/>
        <v>1.164547019833333</v>
      </c>
      <c r="D452" s="474">
        <f t="shared" si="68"/>
        <v>1.6934228680105293E-3</v>
      </c>
    </row>
    <row r="453" spans="1:4" x14ac:dyDescent="0.25">
      <c r="A453" s="515">
        <v>2.9953918282295353E-2</v>
      </c>
      <c r="B453" s="515">
        <v>7.5287772470694E-3</v>
      </c>
      <c r="C453" s="474">
        <f t="shared" si="69"/>
        <v>1.1792881213502107</v>
      </c>
      <c r="D453" s="474">
        <f t="shared" si="68"/>
        <v>1.6925364508025929E-3</v>
      </c>
    </row>
    <row r="454" spans="1:4" x14ac:dyDescent="0.25">
      <c r="A454" s="515">
        <v>3.0328342260824044E-2</v>
      </c>
      <c r="B454" s="515">
        <v>7.5247808471241E-3</v>
      </c>
      <c r="C454" s="474">
        <f t="shared" si="69"/>
        <v>1.1940292228670883</v>
      </c>
      <c r="D454" s="474">
        <f t="shared" si="68"/>
        <v>1.6916380243573107E-3</v>
      </c>
    </row>
    <row r="455" spans="1:4" x14ac:dyDescent="0.25">
      <c r="A455" s="515">
        <v>3.0702766239352738E-2</v>
      </c>
      <c r="B455" s="515">
        <v>7.5207308727384594E-3</v>
      </c>
      <c r="C455" s="474">
        <f t="shared" si="69"/>
        <v>1.208770324383966</v>
      </c>
      <c r="D455" s="474">
        <f t="shared" si="68"/>
        <v>1.6907275538987536E-3</v>
      </c>
    </row>
    <row r="456" spans="1:4" x14ac:dyDescent="0.25">
      <c r="A456" s="515">
        <v>3.1077190217881429E-2</v>
      </c>
      <c r="B456" s="515">
        <v>7.5166271665377659E-3</v>
      </c>
      <c r="C456" s="474">
        <f t="shared" si="69"/>
        <v>1.2235114259008435</v>
      </c>
      <c r="D456" s="474">
        <f t="shared" si="68"/>
        <v>1.6898050040476788E-3</v>
      </c>
    </row>
    <row r="457" spans="1:4" x14ac:dyDescent="0.25">
      <c r="A457" s="515">
        <v>3.145161419641012E-2</v>
      </c>
      <c r="B457" s="515">
        <v>7.5124695684300382E-3</v>
      </c>
      <c r="C457" s="474">
        <f t="shared" si="69"/>
        <v>1.2382525274177212</v>
      </c>
      <c r="D457" s="474">
        <f t="shared" si="68"/>
        <v>1.6888703388139776E-3</v>
      </c>
    </row>
    <row r="458" spans="1:4" x14ac:dyDescent="0.25">
      <c r="A458" s="515">
        <v>3.1826038174938814E-2</v>
      </c>
      <c r="B458" s="515">
        <v>7.5082579155716575E-3</v>
      </c>
      <c r="C458" s="474">
        <f t="shared" si="69"/>
        <v>1.2529936289345989</v>
      </c>
      <c r="D458" s="474">
        <f t="shared" si="68"/>
        <v>1.6879235215889481E-3</v>
      </c>
    </row>
    <row r="459" spans="1:4" x14ac:dyDescent="0.25">
      <c r="A459" s="515">
        <v>3.2200462153467502E-2</v>
      </c>
      <c r="B459" s="515">
        <v>7.50399204233217E-3</v>
      </c>
      <c r="C459" s="474">
        <f t="shared" si="69"/>
        <v>1.2677347304514763</v>
      </c>
      <c r="D459" s="474">
        <f t="shared" si="68"/>
        <v>1.6869645151373828E-3</v>
      </c>
    </row>
    <row r="460" spans="1:4" x14ac:dyDescent="0.25">
      <c r="A460" s="515">
        <v>3.2574886131996196E-2</v>
      </c>
      <c r="B460" s="515">
        <v>7.4996717802582775E-3</v>
      </c>
      <c r="C460" s="474">
        <f t="shared" si="69"/>
        <v>1.282475831968354</v>
      </c>
      <c r="D460" s="474">
        <f t="shared" si="68"/>
        <v>1.6859932815894746E-3</v>
      </c>
    </row>
    <row r="461" spans="1:4" x14ac:dyDescent="0.25">
      <c r="A461" s="515">
        <v>3.294931011052489E-2</v>
      </c>
      <c r="B461" s="515">
        <v>7.4952969580369729E-3</v>
      </c>
      <c r="C461" s="474">
        <f t="shared" si="69"/>
        <v>1.2972169334852319</v>
      </c>
      <c r="D461" s="474">
        <f t="shared" si="68"/>
        <v>1.6850097824325269E-3</v>
      </c>
    </row>
    <row r="462" spans="1:4" x14ac:dyDescent="0.25">
      <c r="A462" s="515">
        <v>3.3323734089053578E-2</v>
      </c>
      <c r="B462" s="515">
        <v>7.4908674014578062E-3</v>
      </c>
      <c r="C462" s="474">
        <f t="shared" si="69"/>
        <v>1.3119580350021092</v>
      </c>
      <c r="D462" s="474">
        <f t="shared" si="68"/>
        <v>1.6840139785024731E-3</v>
      </c>
    </row>
    <row r="463" spans="1:4" x14ac:dyDescent="0.25">
      <c r="A463" s="515">
        <v>3.3698158067582272E-2</v>
      </c>
      <c r="B463" s="515">
        <v>7.4863829333742579E-3</v>
      </c>
      <c r="C463" s="474">
        <f t="shared" si="69"/>
        <v>1.3266991365189871</v>
      </c>
      <c r="D463" s="474">
        <f t="shared" si="68"/>
        <v>1.683005829975191E-3</v>
      </c>
    </row>
    <row r="464" spans="1:4" x14ac:dyDescent="0.25">
      <c r="A464" s="515">
        <v>3.4072582046110966E-2</v>
      </c>
      <c r="B464" s="515">
        <v>7.4818433736642109E-3</v>
      </c>
      <c r="C464" s="474">
        <f t="shared" si="69"/>
        <v>1.3414402380358648</v>
      </c>
      <c r="D464" s="474">
        <f t="shared" si="68"/>
        <v>1.6819852963576186E-3</v>
      </c>
    </row>
    <row r="465" spans="1:4" x14ac:dyDescent="0.25">
      <c r="A465" s="515">
        <v>3.4447006024639654E-2</v>
      </c>
      <c r="B465" s="515">
        <v>7.4772485391894749E-3</v>
      </c>
      <c r="C465" s="474">
        <f t="shared" si="69"/>
        <v>1.3561813395527422</v>
      </c>
      <c r="D465" s="474">
        <f t="shared" si="68"/>
        <v>1.6809523364786525E-3</v>
      </c>
    </row>
    <row r="466" spans="1:4" x14ac:dyDescent="0.25">
      <c r="A466" s="515">
        <v>3.4821430003168348E-2</v>
      </c>
      <c r="B466" s="515">
        <v>7.4725982437543661E-3</v>
      </c>
      <c r="C466" s="474">
        <f t="shared" si="69"/>
        <v>1.3709224410696199</v>
      </c>
      <c r="D466" s="474">
        <f t="shared" si="68"/>
        <v>1.6799069084798383E-3</v>
      </c>
    </row>
    <row r="467" spans="1:4" x14ac:dyDescent="0.25">
      <c r="A467" s="515">
        <v>3.5195853981697042E-2</v>
      </c>
      <c r="B467" s="515">
        <v>7.4678922980632948E-3</v>
      </c>
      <c r="C467" s="474">
        <f t="shared" si="69"/>
        <v>1.3856635425864976</v>
      </c>
      <c r="D467" s="474">
        <f t="shared" si="68"/>
        <v>1.6788489698058343E-3</v>
      </c>
    </row>
    <row r="468" spans="1:4" x14ac:dyDescent="0.25">
      <c r="A468" s="515">
        <v>3.557027796022573E-2</v>
      </c>
      <c r="B468" s="515">
        <v>7.4631305096773473E-3</v>
      </c>
      <c r="C468" s="474">
        <f t="shared" si="69"/>
        <v>1.4004046441033751</v>
      </c>
      <c r="D468" s="474">
        <f t="shared" si="68"/>
        <v>1.6777784771946521E-3</v>
      </c>
    </row>
    <row r="469" spans="1:4" x14ac:dyDescent="0.25">
      <c r="A469" s="515">
        <v>3.5944701938754424E-2</v>
      </c>
      <c r="B469" s="515">
        <v>7.4583126829698542E-3</v>
      </c>
      <c r="C469" s="474">
        <f t="shared" si="69"/>
        <v>1.4151457456202527</v>
      </c>
      <c r="D469" s="474">
        <f t="shared" si="68"/>
        <v>1.676695386667667E-3</v>
      </c>
    </row>
    <row r="470" spans="1:4" x14ac:dyDescent="0.25">
      <c r="A470" s="515">
        <v>3.6319125917283118E-2</v>
      </c>
      <c r="B470" s="515">
        <v>7.4534386190808696E-3</v>
      </c>
      <c r="C470" s="474">
        <f t="shared" si="69"/>
        <v>1.4298868471371307</v>
      </c>
      <c r="D470" s="474">
        <f t="shared" si="68"/>
        <v>1.6755996535193847E-3</v>
      </c>
    </row>
    <row r="471" spans="1:4" x14ac:dyDescent="0.25">
      <c r="A471" s="515">
        <v>3.6693549895811806E-2</v>
      </c>
      <c r="B471" s="515">
        <v>7.4485081158705974E-3</v>
      </c>
      <c r="C471" s="474">
        <f t="shared" si="69"/>
        <v>1.4446279486540081</v>
      </c>
      <c r="D471" s="474">
        <f t="shared" si="68"/>
        <v>1.6744912323069716E-3</v>
      </c>
    </row>
    <row r="472" spans="1:4" x14ac:dyDescent="0.25">
      <c r="A472" s="515">
        <v>3.70679738743405E-2</v>
      </c>
      <c r="B472" s="515">
        <v>7.4435209678716755E-3</v>
      </c>
      <c r="C472" s="474">
        <f t="shared" si="69"/>
        <v>1.4593690501708858</v>
      </c>
      <c r="D472" s="474">
        <f t="shared" si="68"/>
        <v>1.6733700768395271E-3</v>
      </c>
    </row>
    <row r="473" spans="1:4" x14ac:dyDescent="0.25">
      <c r="A473" s="515">
        <v>3.7442397852869194E-2</v>
      </c>
      <c r="B473" s="515">
        <v>7.4384769662403406E-3</v>
      </c>
      <c r="C473" s="474">
        <f t="shared" si="69"/>
        <v>1.4741101516877635</v>
      </c>
      <c r="D473" s="474">
        <f t="shared" si="68"/>
        <v>1.6722361401671061E-3</v>
      </c>
    </row>
    <row r="474" spans="1:4" x14ac:dyDescent="0.25">
      <c r="A474" s="515">
        <v>3.7816821831397882E-2</v>
      </c>
      <c r="B474" s="515">
        <v>7.4333758987064104E-3</v>
      </c>
      <c r="C474" s="474">
        <f t="shared" si="69"/>
        <v>1.488851253204641</v>
      </c>
      <c r="D474" s="474">
        <f t="shared" si="68"/>
        <v>1.6710893745694728E-3</v>
      </c>
    </row>
    <row r="475" spans="1:4" x14ac:dyDescent="0.25">
      <c r="A475" s="515">
        <v>3.8191245809926576E-2</v>
      </c>
      <c r="B475" s="515">
        <v>7.4282175495220572E-3</v>
      </c>
      <c r="C475" s="474">
        <f t="shared" si="69"/>
        <v>1.5035923547215186</v>
      </c>
      <c r="D475" s="474">
        <f t="shared" si="68"/>
        <v>1.6699297315445867E-3</v>
      </c>
    </row>
    <row r="476" spans="1:4" x14ac:dyDescent="0.25">
      <c r="A476" s="515">
        <v>3.856566978845527E-2</v>
      </c>
      <c r="B476" s="515">
        <v>7.4230016994093553E-3</v>
      </c>
      <c r="C476" s="474">
        <f t="shared" si="69"/>
        <v>1.5183334562383966</v>
      </c>
      <c r="D476" s="474">
        <f t="shared" si="68"/>
        <v>1.6687571617968091E-3</v>
      </c>
    </row>
    <row r="477" spans="1:4" x14ac:dyDescent="0.25">
      <c r="A477" s="515">
        <v>3.8940093766983958E-2</v>
      </c>
      <c r="B477" s="515">
        <v>7.4177281255065619E-3</v>
      </c>
      <c r="C477" s="474">
        <f t="shared" si="69"/>
        <v>1.5330745577552738</v>
      </c>
      <c r="D477" s="474">
        <f t="shared" si="68"/>
        <v>1.6675716152248271E-3</v>
      </c>
    </row>
    <row r="478" spans="1:4" x14ac:dyDescent="0.25">
      <c r="A478" s="515">
        <v>3.9314517745512652E-2</v>
      </c>
      <c r="B478" s="515">
        <v>7.4123966013130843E-3</v>
      </c>
      <c r="C478" s="474">
        <f t="shared" si="69"/>
        <v>1.5478156592721517</v>
      </c>
      <c r="D478" s="474">
        <f t="shared" si="68"/>
        <v>1.6663730409092821E-3</v>
      </c>
    </row>
    <row r="479" spans="1:4" x14ac:dyDescent="0.25">
      <c r="A479" s="515">
        <v>3.9688941724041346E-2</v>
      </c>
      <c r="B479" s="515">
        <v>7.4070068966331122E-3</v>
      </c>
      <c r="C479" s="474">
        <f t="shared" si="69"/>
        <v>1.5625567607890294</v>
      </c>
      <c r="D479" s="474">
        <f t="shared" si="68"/>
        <v>1.6651613871000975E-3</v>
      </c>
    </row>
    <row r="480" spans="1:4" x14ac:dyDescent="0.25">
      <c r="A480" s="515">
        <v>4.0063365702570033E-2</v>
      </c>
      <c r="B480" s="515">
        <v>7.4015587775178911E-3</v>
      </c>
      <c r="C480" s="474">
        <f t="shared" si="69"/>
        <v>1.5772978623059069</v>
      </c>
      <c r="D480" s="474">
        <f t="shared" si="68"/>
        <v>1.663936601203501E-3</v>
      </c>
    </row>
    <row r="481" spans="1:4" x14ac:dyDescent="0.25">
      <c r="A481" s="515">
        <v>4.0437789681098728E-2</v>
      </c>
      <c r="B481" s="515">
        <v>7.396052006206558E-3</v>
      </c>
      <c r="C481" s="474">
        <f t="shared" si="69"/>
        <v>1.5920389638227845</v>
      </c>
      <c r="D481" s="474">
        <f t="shared" si="68"/>
        <v>1.6626986297687248E-3</v>
      </c>
    </row>
    <row r="482" spans="1:4" x14ac:dyDescent="0.25">
      <c r="A482" s="515">
        <v>4.0812213659627422E-2</v>
      </c>
      <c r="B482" s="515">
        <v>7.3904863410655455E-3</v>
      </c>
      <c r="C482" s="474">
        <f t="shared" si="69"/>
        <v>1.6067800653396622</v>
      </c>
      <c r="D482" s="474">
        <f t="shared" si="68"/>
        <v>1.661447418474382E-3</v>
      </c>
    </row>
    <row r="483" spans="1:4" x14ac:dyDescent="0.25">
      <c r="A483" s="515">
        <v>4.1186637638156109E-2</v>
      </c>
      <c r="B483" s="515">
        <v>7.3848615365264842E-3</v>
      </c>
      <c r="C483" s="474">
        <f t="shared" si="69"/>
        <v>1.6215211668565399</v>
      </c>
      <c r="D483" s="474">
        <f t="shared" si="68"/>
        <v>1.660182912114507E-3</v>
      </c>
    </row>
    <row r="484" spans="1:4" x14ac:dyDescent="0.25">
      <c r="A484" s="515">
        <v>4.1561061616684804E-2</v>
      </c>
      <c r="B484" s="515">
        <v>7.3791773430225745E-3</v>
      </c>
      <c r="C484" s="474">
        <f t="shared" si="69"/>
        <v>1.6362622683734176</v>
      </c>
      <c r="D484" s="474">
        <f t="shared" si="68"/>
        <v>1.6589050545842516E-3</v>
      </c>
    </row>
    <row r="485" spans="1:4" x14ac:dyDescent="0.25">
      <c r="A485" s="515">
        <v>4.1935485595213498E-2</v>
      </c>
      <c r="B485" s="515">
        <v>7.3734335069233891E-3</v>
      </c>
      <c r="C485" s="474">
        <f t="shared" si="69"/>
        <v>1.6510033698902953</v>
      </c>
      <c r="D485" s="474">
        <f t="shared" si="68"/>
        <v>1.657613788865228E-3</v>
      </c>
    </row>
    <row r="486" spans="1:4" x14ac:dyDescent="0.25">
      <c r="A486" s="515">
        <v>4.2309909573742185E-2</v>
      </c>
      <c r="B486" s="515">
        <v>7.3676297704680302E-3</v>
      </c>
      <c r="C486" s="474">
        <f t="shared" si="69"/>
        <v>1.6657444714071725</v>
      </c>
      <c r="D486" s="474">
        <f t="shared" si="68"/>
        <v>1.6563090570104809E-3</v>
      </c>
    </row>
    <row r="487" spans="1:4" x14ac:dyDescent="0.25">
      <c r="A487" s="515">
        <v>4.268433355227088E-2</v>
      </c>
      <c r="B487" s="515">
        <v>7.3617658716966534E-3</v>
      </c>
      <c r="C487" s="474">
        <f t="shared" si="69"/>
        <v>1.6804855729240502</v>
      </c>
      <c r="D487" s="474">
        <f t="shared" si="68"/>
        <v>1.6549908001290948E-3</v>
      </c>
    </row>
    <row r="488" spans="1:4" x14ac:dyDescent="0.25">
      <c r="A488" s="515">
        <v>4.3058757530799567E-2</v>
      </c>
      <c r="B488" s="515">
        <v>7.3558415443802441E-3</v>
      </c>
      <c r="C488" s="474">
        <f t="shared" si="69"/>
        <v>1.6952266744409279</v>
      </c>
      <c r="D488" s="474">
        <f t="shared" si="68"/>
        <v>1.6536589583704066E-3</v>
      </c>
    </row>
    <row r="489" spans="1:4" x14ac:dyDescent="0.25">
      <c r="A489" s="515">
        <v>4.3433181509328261E-2</v>
      </c>
      <c r="B489" s="515">
        <v>7.3498565179486476E-3</v>
      </c>
      <c r="C489" s="474">
        <f t="shared" si="69"/>
        <v>1.7099677759578056</v>
      </c>
      <c r="D489" s="474">
        <f t="shared" si="68"/>
        <v>1.6523134709078261E-3</v>
      </c>
    </row>
    <row r="490" spans="1:4" x14ac:dyDescent="0.25">
      <c r="A490" s="515">
        <v>4.3807605487856956E-2</v>
      </c>
      <c r="B490" s="515">
        <v>7.3438105174167771E-3</v>
      </c>
      <c r="C490" s="474">
        <f t="shared" si="69"/>
        <v>1.7247088774746833</v>
      </c>
      <c r="D490" s="474">
        <f t="shared" si="68"/>
        <v>1.6509542759222463E-3</v>
      </c>
    </row>
    <row r="491" spans="1:4" x14ac:dyDescent="0.25">
      <c r="A491" s="515">
        <v>4.4182029466385643E-2</v>
      </c>
      <c r="B491" s="515">
        <v>7.3377032633089468E-3</v>
      </c>
      <c r="C491" s="474">
        <f t="shared" si="69"/>
        <v>1.7394499789915605</v>
      </c>
      <c r="D491" s="474">
        <f t="shared" si="68"/>
        <v>1.6495813105850343E-3</v>
      </c>
    </row>
    <row r="492" spans="1:4" x14ac:dyDescent="0.25">
      <c r="A492" s="515">
        <v>4.4556453444914337E-2</v>
      </c>
      <c r="B492" s="515">
        <v>7.3315344715812851E-3</v>
      </c>
      <c r="C492" s="474">
        <f t="shared" si="69"/>
        <v>1.7541910805084386</v>
      </c>
      <c r="D492" s="474">
        <f t="shared" si="68"/>
        <v>1.6481945110405876E-3</v>
      </c>
    </row>
    <row r="493" spans="1:4" x14ac:dyDescent="0.25">
      <c r="A493" s="515">
        <v>4.4930877423443032E-2</v>
      </c>
      <c r="B493" s="515">
        <v>7.3253038535421675E-3</v>
      </c>
      <c r="C493" s="474">
        <f t="shared" si="69"/>
        <v>1.7689321820253163</v>
      </c>
      <c r="D493" s="474">
        <f t="shared" si="68"/>
        <v>1.6467938123884472E-3</v>
      </c>
    </row>
    <row r="494" spans="1:4" x14ac:dyDescent="0.25">
      <c r="A494" s="515">
        <v>4.5305301401971719E-2</v>
      </c>
      <c r="B494" s="515">
        <v>7.3190111157706E-3</v>
      </c>
      <c r="C494" s="474">
        <f t="shared" si="69"/>
        <v>1.7836732835421936</v>
      </c>
      <c r="D494" s="474">
        <f t="shared" si="68"/>
        <v>1.6453791486649501E-3</v>
      </c>
    </row>
    <row r="495" spans="1:4" x14ac:dyDescent="0.25">
      <c r="A495" s="515">
        <v>4.5679725380500413E-2</v>
      </c>
      <c r="B495" s="515">
        <v>7.3126559600325027E-3</v>
      </c>
      <c r="C495" s="474">
        <f t="shared" si="69"/>
        <v>1.7984143850590713</v>
      </c>
      <c r="D495" s="474">
        <f t="shared" si="68"/>
        <v>1.6439504528244079E-3</v>
      </c>
    </row>
    <row r="496" spans="1:4" x14ac:dyDescent="0.25">
      <c r="A496" s="515">
        <v>4.6054149359029108E-2</v>
      </c>
      <c r="B496" s="515">
        <v>7.3062380831948326E-3</v>
      </c>
      <c r="C496" s="474">
        <f t="shared" si="69"/>
        <v>1.8131554865759489</v>
      </c>
      <c r="D496" s="474">
        <f t="shared" si="68"/>
        <v>1.6425076567198019E-3</v>
      </c>
    </row>
    <row r="497" spans="1:4" x14ac:dyDescent="0.25">
      <c r="A497" s="515">
        <v>4.6428573337557795E-2</v>
      </c>
      <c r="B497" s="515">
        <v>7.2997571771374736E-3</v>
      </c>
      <c r="C497" s="474">
        <f t="shared" si="69"/>
        <v>1.8278965880928266</v>
      </c>
      <c r="D497" s="474">
        <f t="shared" si="68"/>
        <v>1.6410506910829745E-3</v>
      </c>
    </row>
    <row r="498" spans="1:4" x14ac:dyDescent="0.25">
      <c r="A498" s="515">
        <v>4.6802997316086489E-2</v>
      </c>
      <c r="B498" s="515">
        <v>7.2932129286628032E-3</v>
      </c>
      <c r="C498" s="474">
        <f t="shared" si="69"/>
        <v>1.8426376896097043</v>
      </c>
      <c r="D498" s="474">
        <f t="shared" si="68"/>
        <v>1.6395794855042997E-3</v>
      </c>
    </row>
    <row r="499" spans="1:4" x14ac:dyDescent="0.25">
      <c r="A499" s="515">
        <v>4.7177421294615184E-2</v>
      </c>
      <c r="B499" s="515">
        <v>7.2866050194029253E-3</v>
      </c>
      <c r="C499" s="474">
        <f t="shared" si="69"/>
        <v>1.857378791126582</v>
      </c>
      <c r="D499" s="474">
        <f t="shared" si="68"/>
        <v>1.6380939684118273E-3</v>
      </c>
    </row>
    <row r="500" spans="1:4" x14ac:dyDescent="0.25">
      <c r="A500" s="515">
        <v>4.7551845273143871E-2</v>
      </c>
      <c r="B500" s="515">
        <v>7.279933125724428E-3</v>
      </c>
      <c r="C500" s="474">
        <f t="shared" si="69"/>
        <v>1.8721198926434592</v>
      </c>
      <c r="D500" s="474">
        <f t="shared" si="68"/>
        <v>1.6365940670498721E-3</v>
      </c>
    </row>
    <row r="501" spans="1:4" x14ac:dyDescent="0.25">
      <c r="A501" s="515">
        <v>4.7926269251672565E-2</v>
      </c>
      <c r="B501" s="515">
        <v>7.273196918630629E-3</v>
      </c>
      <c r="C501" s="474">
        <f t="shared" si="69"/>
        <v>1.8868609941603374</v>
      </c>
      <c r="D501" s="474">
        <f t="shared" ref="D501:D564" si="70">B501*$AB$8</f>
        <v>1.6350797074570381E-3</v>
      </c>
    </row>
    <row r="502" spans="1:4" x14ac:dyDescent="0.25">
      <c r="A502" s="515">
        <v>4.830069323020126E-2</v>
      </c>
      <c r="B502" s="515">
        <v>7.2663960636612235E-3</v>
      </c>
      <c r="C502" s="474">
        <f t="shared" ref="C502:C565" si="71">A502*100/$Z$2</f>
        <v>1.9016020956772151</v>
      </c>
      <c r="D502" s="474">
        <f t="shared" si="70"/>
        <v>1.6335508144436578E-3</v>
      </c>
    </row>
    <row r="503" spans="1:4" x14ac:dyDescent="0.25">
      <c r="A503" s="515">
        <v>4.8675117208729947E-2</v>
      </c>
      <c r="B503" s="515">
        <v>7.2595302207892447E-3</v>
      </c>
      <c r="C503" s="474">
        <f t="shared" si="71"/>
        <v>1.9163431971940923</v>
      </c>
      <c r="D503" s="474">
        <f t="shared" si="70"/>
        <v>1.6320073115686285E-3</v>
      </c>
    </row>
    <row r="504" spans="1:4" x14ac:dyDescent="0.25">
      <c r="A504" s="515">
        <v>4.9049541187258641E-2</v>
      </c>
      <c r="B504" s="515">
        <v>7.2525990443152531E-3</v>
      </c>
      <c r="C504" s="474">
        <f t="shared" si="71"/>
        <v>1.93108429871097</v>
      </c>
      <c r="D504" s="474">
        <f t="shared" si="70"/>
        <v>1.6304491211156247E-3</v>
      </c>
    </row>
    <row r="505" spans="1:4" x14ac:dyDescent="0.25">
      <c r="A505" s="515">
        <v>4.9423965165787336E-2</v>
      </c>
      <c r="B505" s="515">
        <v>7.2456021827586791E-3</v>
      </c>
      <c r="C505" s="474">
        <f t="shared" si="71"/>
        <v>1.9458254002278477</v>
      </c>
      <c r="D505" s="474">
        <f t="shared" si="70"/>
        <v>1.6288761640686712E-3</v>
      </c>
    </row>
    <row r="506" spans="1:4" x14ac:dyDescent="0.25">
      <c r="A506" s="515">
        <v>4.9798389144316023E-2</v>
      </c>
      <c r="B506" s="515">
        <v>7.2385392787462036E-3</v>
      </c>
      <c r="C506" s="474">
        <f t="shared" si="71"/>
        <v>1.9605665017447254</v>
      </c>
      <c r="D506" s="474">
        <f t="shared" si="70"/>
        <v>1.6272883600870502E-3</v>
      </c>
    </row>
    <row r="507" spans="1:4" x14ac:dyDescent="0.25">
      <c r="A507" s="515">
        <v>5.0172813122844717E-2</v>
      </c>
      <c r="B507" s="515">
        <v>7.2314099688971008E-3</v>
      </c>
      <c r="C507" s="474">
        <f t="shared" si="71"/>
        <v>1.975307603261603</v>
      </c>
      <c r="D507" s="474">
        <f t="shared" si="70"/>
        <v>1.6256856274795249E-3</v>
      </c>
    </row>
    <row r="508" spans="1:4" x14ac:dyDescent="0.25">
      <c r="A508" s="515">
        <v>5.0547237101373411E-2</v>
      </c>
      <c r="B508" s="515">
        <v>7.2242138837054354E-3</v>
      </c>
      <c r="C508" s="474">
        <f t="shared" si="71"/>
        <v>1.9900487047784807</v>
      </c>
      <c r="D508" s="474">
        <f t="shared" si="70"/>
        <v>1.6240678831778569E-3</v>
      </c>
    </row>
    <row r="509" spans="1:4" x14ac:dyDescent="0.25">
      <c r="A509" s="515">
        <v>5.0921661079902099E-2</v>
      </c>
      <c r="B509" s="515">
        <v>7.2169506474190096E-3</v>
      </c>
      <c r="C509" s="474">
        <f t="shared" si="71"/>
        <v>2.0047898062953582</v>
      </c>
      <c r="D509" s="474">
        <f t="shared" si="70"/>
        <v>1.6224350427095917E-3</v>
      </c>
    </row>
    <row r="510" spans="1:4" x14ac:dyDescent="0.25">
      <c r="A510" s="515">
        <v>5.1296085058430793E-2</v>
      </c>
      <c r="B510" s="515">
        <v>7.2096198779149565E-3</v>
      </c>
      <c r="C510" s="474">
        <f t="shared" si="71"/>
        <v>2.0195309078122361</v>
      </c>
      <c r="D510" s="474">
        <f t="shared" si="70"/>
        <v>1.6207870201700922E-3</v>
      </c>
    </row>
    <row r="511" spans="1:4" x14ac:dyDescent="0.25">
      <c r="A511" s="515">
        <v>5.1670509036959487E-2</v>
      </c>
      <c r="B511" s="515">
        <v>7.202221186571869E-3</v>
      </c>
      <c r="C511" s="474">
        <f t="shared" si="71"/>
        <v>2.0342720093291136</v>
      </c>
      <c r="D511" s="474">
        <f t="shared" si="70"/>
        <v>1.6191237281937905E-3</v>
      </c>
    </row>
    <row r="512" spans="1:4" x14ac:dyDescent="0.25">
      <c r="A512" s="515">
        <v>5.2044933015488175E-2</v>
      </c>
      <c r="B512" s="515">
        <v>7.1947541781383403E-3</v>
      </c>
      <c r="C512" s="474">
        <f t="shared" si="71"/>
        <v>2.049013110845991</v>
      </c>
      <c r="D512" s="474">
        <f t="shared" si="70"/>
        <v>1.6174450779246361E-3</v>
      </c>
    </row>
    <row r="513" spans="1:4" x14ac:dyDescent="0.25">
      <c r="A513" s="515">
        <v>5.2419356994016869E-2</v>
      </c>
      <c r="B513" s="515">
        <v>7.1872184505978078E-3</v>
      </c>
      <c r="C513" s="474">
        <f t="shared" si="71"/>
        <v>2.0637542123628685</v>
      </c>
      <c r="D513" s="474">
        <f t="shared" si="70"/>
        <v>1.6157509789857102E-3</v>
      </c>
    </row>
    <row r="514" spans="1:4" x14ac:dyDescent="0.25">
      <c r="A514" s="515">
        <v>5.2793780972545563E-2</v>
      </c>
      <c r="B514" s="515">
        <v>7.1796135950295504E-3</v>
      </c>
      <c r="C514" s="474">
        <f t="shared" si="71"/>
        <v>2.0784953138797468</v>
      </c>
      <c r="D514" s="474">
        <f t="shared" si="70"/>
        <v>1.6140413394479785E-3</v>
      </c>
    </row>
    <row r="515" spans="1:4" x14ac:dyDescent="0.25">
      <c r="A515" s="515">
        <v>5.3168204951074251E-2</v>
      </c>
      <c r="B515" s="515">
        <v>7.1719391954657517E-3</v>
      </c>
      <c r="C515" s="474">
        <f t="shared" si="71"/>
        <v>2.0932364153966239</v>
      </c>
      <c r="D515" s="474">
        <f t="shared" si="70"/>
        <v>1.6123160657981559E-3</v>
      </c>
    </row>
    <row r="516" spans="1:4" x14ac:dyDescent="0.25">
      <c r="A516" s="515">
        <v>5.3542628929602945E-2</v>
      </c>
      <c r="B516" s="515">
        <v>7.1641948287444407E-3</v>
      </c>
      <c r="C516" s="474">
        <f t="shared" si="71"/>
        <v>2.1079775169135018</v>
      </c>
      <c r="D516" s="474">
        <f t="shared" si="70"/>
        <v>1.6105750629056472E-3</v>
      </c>
    </row>
    <row r="517" spans="1:4" x14ac:dyDescent="0.25">
      <c r="A517" s="515">
        <v>5.3917052908131632E-2</v>
      </c>
      <c r="B517" s="515">
        <v>7.1563800643582084E-3</v>
      </c>
      <c r="C517" s="474">
        <f t="shared" si="71"/>
        <v>2.1227186184303792</v>
      </c>
      <c r="D517" s="474">
        <f t="shared" si="70"/>
        <v>1.6088182339885372E-3</v>
      </c>
    </row>
    <row r="518" spans="1:4" x14ac:dyDescent="0.25">
      <c r="A518" s="515">
        <v>5.4291476886660327E-2</v>
      </c>
      <c r="B518" s="515">
        <v>7.1484944642985337E-3</v>
      </c>
      <c r="C518" s="474">
        <f t="shared" si="71"/>
        <v>2.1374597199472571</v>
      </c>
      <c r="D518" s="474">
        <f t="shared" si="70"/>
        <v>1.6070454805785933E-3</v>
      </c>
    </row>
    <row r="519" spans="1:4" x14ac:dyDescent="0.25">
      <c r="A519" s="515">
        <v>5.4665900865189021E-2</v>
      </c>
      <c r="B519" s="515">
        <v>7.1405375828955623E-3</v>
      </c>
      <c r="C519" s="474">
        <f t="shared" si="71"/>
        <v>2.1522008214641346</v>
      </c>
      <c r="D519" s="474">
        <f t="shared" si="70"/>
        <v>1.6052567024852468E-3</v>
      </c>
    </row>
    <row r="520" spans="1:4" x14ac:dyDescent="0.25">
      <c r="A520" s="515">
        <v>5.5040324843717708E-2</v>
      </c>
      <c r="B520" s="515">
        <v>7.1325089666531977E-3</v>
      </c>
      <c r="C520" s="474">
        <f t="shared" si="71"/>
        <v>2.1669419229810121</v>
      </c>
      <c r="D520" s="474">
        <f t="shared" si="70"/>
        <v>1.6034517977585201E-3</v>
      </c>
    </row>
    <row r="521" spans="1:4" x14ac:dyDescent="0.25">
      <c r="A521" s="515">
        <v>5.5414748822246403E-2</v>
      </c>
      <c r="B521" s="515">
        <v>7.1244081540793053E-3</v>
      </c>
      <c r="C521" s="474">
        <f t="shared" si="71"/>
        <v>2.1816830244978895</v>
      </c>
      <c r="D521" s="474">
        <f t="shared" si="70"/>
        <v>1.6016306626508545E-3</v>
      </c>
    </row>
    <row r="522" spans="1:4" x14ac:dyDescent="0.25">
      <c r="A522" s="515">
        <v>5.5789172800775097E-2</v>
      </c>
      <c r="B522" s="515">
        <v>7.1162346755108945E-3</v>
      </c>
      <c r="C522" s="474">
        <f t="shared" si="71"/>
        <v>2.1964241260147674</v>
      </c>
      <c r="D522" s="474">
        <f t="shared" si="70"/>
        <v>1.5997931915778096E-3</v>
      </c>
    </row>
    <row r="523" spans="1:4" x14ac:dyDescent="0.25">
      <c r="A523" s="515">
        <v>5.6163596779303784E-2</v>
      </c>
      <c r="B523" s="515">
        <v>7.1079880529340556E-3</v>
      </c>
      <c r="C523" s="474">
        <f t="shared" si="71"/>
        <v>2.2111652275316449</v>
      </c>
      <c r="D523" s="474">
        <f t="shared" si="70"/>
        <v>1.5979392770775838E-3</v>
      </c>
    </row>
    <row r="524" spans="1:4" x14ac:dyDescent="0.25">
      <c r="A524" s="515">
        <v>5.6538020757832479E-2</v>
      </c>
      <c r="B524" s="515">
        <v>7.0996677997984927E-3</v>
      </c>
      <c r="C524" s="474">
        <f t="shared" si="71"/>
        <v>2.2259063290485228</v>
      </c>
      <c r="D524" s="474">
        <f t="shared" si="70"/>
        <v>1.5960688097693199E-3</v>
      </c>
    </row>
    <row r="525" spans="1:4" x14ac:dyDescent="0.25">
      <c r="A525" s="515">
        <v>5.6912444736361173E-2</v>
      </c>
      <c r="B525" s="515">
        <v>7.0912734208264435E-3</v>
      </c>
      <c r="C525" s="474">
        <f t="shared" si="71"/>
        <v>2.2406474305654003</v>
      </c>
      <c r="D525" s="474">
        <f t="shared" si="70"/>
        <v>1.5941816783101477E-3</v>
      </c>
    </row>
    <row r="526" spans="1:4" x14ac:dyDescent="0.25">
      <c r="A526" s="515">
        <v>5.728686871488986E-2</v>
      </c>
      <c r="B526" s="515">
        <v>7.0828044118157723E-3</v>
      </c>
      <c r="C526" s="474">
        <f t="shared" si="71"/>
        <v>2.2553885320822777</v>
      </c>
      <c r="D526" s="474">
        <f t="shared" si="70"/>
        <v>1.5922777693509185E-3</v>
      </c>
    </row>
    <row r="527" spans="1:4" x14ac:dyDescent="0.25">
      <c r="A527" s="515">
        <v>5.7661292693418555E-2</v>
      </c>
      <c r="B527" s="515">
        <v>7.0742602594370367E-3</v>
      </c>
      <c r="C527" s="474">
        <f t="shared" si="71"/>
        <v>2.2701296335991556</v>
      </c>
      <c r="D527" s="474">
        <f t="shared" si="70"/>
        <v>1.5903569674905831E-3</v>
      </c>
    </row>
    <row r="528" spans="1:4" x14ac:dyDescent="0.25">
      <c r="A528" s="515">
        <v>5.8035716671947249E-2</v>
      </c>
      <c r="B528" s="515">
        <v>7.0656404410242854E-3</v>
      </c>
      <c r="C528" s="474">
        <f t="shared" si="71"/>
        <v>2.2848707351160336</v>
      </c>
      <c r="D528" s="474">
        <f t="shared" si="70"/>
        <v>1.5884191552291618E-3</v>
      </c>
    </row>
    <row r="529" spans="1:4" x14ac:dyDescent="0.25">
      <c r="A529" s="515">
        <v>5.8410140650475936E-2</v>
      </c>
      <c r="B529" s="515">
        <v>7.0569444243593583E-3</v>
      </c>
      <c r="C529" s="474">
        <f t="shared" si="71"/>
        <v>2.2996118366329106</v>
      </c>
      <c r="D529" s="474">
        <f t="shared" si="70"/>
        <v>1.5864642129192529E-3</v>
      </c>
    </row>
    <row r="530" spans="1:4" x14ac:dyDescent="0.25">
      <c r="A530" s="515">
        <v>5.8784564629004631E-2</v>
      </c>
      <c r="B530" s="515">
        <v>7.0481716674494514E-3</v>
      </c>
      <c r="C530" s="474">
        <f t="shared" si="71"/>
        <v>2.3143529381497885</v>
      </c>
      <c r="D530" s="474">
        <f t="shared" si="70"/>
        <v>1.5844920187160271E-3</v>
      </c>
    </row>
    <row r="531" spans="1:4" x14ac:dyDescent="0.25">
      <c r="A531" s="515">
        <v>5.9158988607533325E-2</v>
      </c>
      <c r="B531" s="515">
        <v>7.0393216182976764E-3</v>
      </c>
      <c r="C531" s="474">
        <f t="shared" si="71"/>
        <v>2.3290940396666659</v>
      </c>
      <c r="D531" s="474">
        <f t="shared" si="70"/>
        <v>1.582502448525648E-3</v>
      </c>
    </row>
    <row r="532" spans="1:4" x14ac:dyDescent="0.25">
      <c r="A532" s="515">
        <v>5.9533412586062012E-2</v>
      </c>
      <c r="B532" s="515">
        <v>7.0303937146663446E-3</v>
      </c>
      <c r="C532" s="474">
        <f t="shared" si="71"/>
        <v>2.3438351411835439</v>
      </c>
      <c r="D532" s="474">
        <f t="shared" si="70"/>
        <v>1.5804953759520552E-3</v>
      </c>
    </row>
    <row r="533" spans="1:4" x14ac:dyDescent="0.25">
      <c r="A533" s="515">
        <v>5.9907836564590707E-2</v>
      </c>
      <c r="B533" s="515">
        <v>7.0213873838327135E-3</v>
      </c>
      <c r="C533" s="474">
        <f t="shared" si="71"/>
        <v>2.3585762427004213</v>
      </c>
      <c r="D533" s="474">
        <f t="shared" si="70"/>
        <v>1.578470672242055E-3</v>
      </c>
    </row>
    <row r="534" spans="1:4" x14ac:dyDescent="0.25">
      <c r="A534" s="515">
        <v>6.0282260543119401E-2</v>
      </c>
      <c r="B534" s="515">
        <v>7.0123020423368751E-3</v>
      </c>
      <c r="C534" s="474">
        <f t="shared" si="71"/>
        <v>2.3733173442172992</v>
      </c>
      <c r="D534" s="474">
        <f t="shared" si="70"/>
        <v>1.576428206228642E-3</v>
      </c>
    </row>
    <row r="535" spans="1:4" x14ac:dyDescent="0.25">
      <c r="A535" s="515">
        <v>6.0656684521648088E-2</v>
      </c>
      <c r="B535" s="515">
        <v>7.0031370957214928E-3</v>
      </c>
      <c r="C535" s="474">
        <f t="shared" si="71"/>
        <v>2.3880584457341767</v>
      </c>
      <c r="D535" s="474">
        <f t="shared" si="70"/>
        <v>1.5743678442724912E-3</v>
      </c>
    </row>
    <row r="536" spans="1:4" x14ac:dyDescent="0.25">
      <c r="A536" s="515">
        <v>6.1031108500176783E-2</v>
      </c>
      <c r="B536" s="515">
        <v>6.9938919382630717E-3</v>
      </c>
      <c r="C536" s="474">
        <f t="shared" si="71"/>
        <v>2.4027995472510546</v>
      </c>
      <c r="D536" s="474">
        <f t="shared" si="70"/>
        <v>1.5722894502015446E-3</v>
      </c>
    </row>
    <row r="537" spans="1:4" x14ac:dyDescent="0.25">
      <c r="A537" s="515">
        <v>6.1405532478705477E-2</v>
      </c>
      <c r="B537" s="515">
        <v>6.9845659526943989E-3</v>
      </c>
      <c r="C537" s="474">
        <f t="shared" si="71"/>
        <v>2.4175406487679321</v>
      </c>
      <c r="D537" s="474">
        <f t="shared" si="70"/>
        <v>1.5701928852486127E-3</v>
      </c>
    </row>
    <row r="538" spans="1:4" x14ac:dyDescent="0.25">
      <c r="A538" s="515">
        <v>6.1779956457234164E-2</v>
      </c>
      <c r="B538" s="515">
        <v>6.9751585099178184E-3</v>
      </c>
      <c r="C538" s="474">
        <f t="shared" si="71"/>
        <v>2.4322817502848095</v>
      </c>
      <c r="D538" s="474">
        <f t="shared" si="70"/>
        <v>1.5680780079869166E-3</v>
      </c>
    </row>
    <row r="539" spans="1:4" x14ac:dyDescent="0.25">
      <c r="A539" s="515">
        <v>6.2154380435762858E-2</v>
      </c>
      <c r="B539" s="515">
        <v>6.9656689687089841E-3</v>
      </c>
      <c r="C539" s="474">
        <f t="shared" si="71"/>
        <v>2.447022851801687</v>
      </c>
      <c r="D539" s="474">
        <f t="shared" si="70"/>
        <v>1.5659446742634893E-3</v>
      </c>
    </row>
    <row r="540" spans="1:4" x14ac:dyDescent="0.25">
      <c r="A540" s="515">
        <v>6.2528804414291553E-2</v>
      </c>
      <c r="B540" s="515">
        <v>6.9560966754106512E-3</v>
      </c>
      <c r="C540" s="474">
        <f t="shared" si="71"/>
        <v>2.4617639533185653</v>
      </c>
      <c r="D540" s="474">
        <f t="shared" si="70"/>
        <v>1.5637927371303369E-3</v>
      </c>
    </row>
    <row r="541" spans="1:4" x14ac:dyDescent="0.25">
      <c r="A541" s="515">
        <v>6.290322839282024E-2</v>
      </c>
      <c r="B541" s="515">
        <v>6.9464409636161547E-3</v>
      </c>
      <c r="C541" s="474">
        <f t="shared" si="71"/>
        <v>2.4765050548354424</v>
      </c>
      <c r="D541" s="474">
        <f t="shared" si="70"/>
        <v>1.5616220467732816E-3</v>
      </c>
    </row>
    <row r="542" spans="1:4" x14ac:dyDescent="0.25">
      <c r="A542" s="515">
        <v>6.3277652371348928E-2</v>
      </c>
      <c r="B542" s="515">
        <v>6.9367011538421144E-3</v>
      </c>
      <c r="C542" s="474">
        <f t="shared" si="71"/>
        <v>2.4912461563523198</v>
      </c>
      <c r="D542" s="474">
        <f t="shared" si="70"/>
        <v>1.5594324504383836E-3</v>
      </c>
    </row>
    <row r="543" spans="1:4" x14ac:dyDescent="0.25">
      <c r="A543" s="515">
        <v>6.3652076349877629E-2</v>
      </c>
      <c r="B543" s="515">
        <v>6.9268765531899264E-3</v>
      </c>
      <c r="C543" s="474">
        <f t="shared" si="71"/>
        <v>2.5059872578691977</v>
      </c>
      <c r="D543" s="474">
        <f t="shared" si="70"/>
        <v>1.5572237923558404E-3</v>
      </c>
    </row>
    <row r="544" spans="1:4" x14ac:dyDescent="0.25">
      <c r="A544" s="515">
        <v>6.4026500328406316E-2</v>
      </c>
      <c r="B544" s="515">
        <v>6.9169664549955595E-3</v>
      </c>
      <c r="C544" s="474">
        <f t="shared" si="71"/>
        <v>2.5207283593860756</v>
      </c>
      <c r="D544" s="474">
        <f t="shared" si="70"/>
        <v>1.5549959136612586E-3</v>
      </c>
    </row>
    <row r="545" spans="1:4" x14ac:dyDescent="0.25">
      <c r="A545" s="515">
        <v>6.4400924306935003E-2</v>
      </c>
      <c r="B545" s="515">
        <v>6.9069701384671806E-3</v>
      </c>
      <c r="C545" s="474">
        <f t="shared" si="71"/>
        <v>2.5354694609029527</v>
      </c>
      <c r="D545" s="474">
        <f t="shared" si="70"/>
        <v>1.5527486523141882E-3</v>
      </c>
    </row>
    <row r="546" spans="1:4" x14ac:dyDescent="0.25">
      <c r="A546" s="515">
        <v>6.4775348285463705E-2</v>
      </c>
      <c r="B546" s="515">
        <v>6.8968868683100676E-3</v>
      </c>
      <c r="C546" s="474">
        <f t="shared" si="71"/>
        <v>2.550210562419831</v>
      </c>
      <c r="D546" s="474">
        <f t="shared" si="70"/>
        <v>1.5504818430138005E-3</v>
      </c>
    </row>
    <row r="547" spans="1:4" x14ac:dyDescent="0.25">
      <c r="A547" s="515">
        <v>6.5149772263992392E-2</v>
      </c>
      <c r="B547" s="515">
        <v>6.8867158943382778E-3</v>
      </c>
      <c r="C547" s="474">
        <f t="shared" si="71"/>
        <v>2.564951663936708</v>
      </c>
      <c r="D547" s="474">
        <f t="shared" si="70"/>
        <v>1.5481953171115872E-3</v>
      </c>
    </row>
    <row r="548" spans="1:4" x14ac:dyDescent="0.25">
      <c r="A548" s="515">
        <v>6.5524196242521079E-2</v>
      </c>
      <c r="B548" s="515">
        <v>6.8764564510724862E-3</v>
      </c>
      <c r="C548" s="474">
        <f t="shared" si="71"/>
        <v>2.5796927654535859</v>
      </c>
      <c r="D548" s="474">
        <f t="shared" si="70"/>
        <v>1.5458889025209506E-3</v>
      </c>
    </row>
    <row r="549" spans="1:4" x14ac:dyDescent="0.25">
      <c r="A549" s="515">
        <v>6.5898620221049781E-2</v>
      </c>
      <c r="B549" s="515">
        <v>6.8661077573233895E-3</v>
      </c>
      <c r="C549" s="474">
        <f t="shared" si="71"/>
        <v>2.5944338669704639</v>
      </c>
      <c r="D549" s="474">
        <f t="shared" si="70"/>
        <v>1.5435624236235497E-3</v>
      </c>
    </row>
    <row r="550" spans="1:4" x14ac:dyDescent="0.25">
      <c r="A550" s="515">
        <v>6.6273044199578468E-2</v>
      </c>
      <c r="B550" s="515">
        <v>6.8556690157600547E-3</v>
      </c>
      <c r="C550" s="474">
        <f t="shared" si="71"/>
        <v>2.6091749684873413</v>
      </c>
      <c r="D550" s="474">
        <f t="shared" si="70"/>
        <v>1.5412157011722607E-3</v>
      </c>
    </row>
    <row r="551" spans="1:4" x14ac:dyDescent="0.25">
      <c r="A551" s="515">
        <v>6.6647468178107155E-2</v>
      </c>
      <c r="B551" s="515">
        <v>6.8451394124625078E-3</v>
      </c>
      <c r="C551" s="474">
        <f t="shared" si="71"/>
        <v>2.6239160700042183</v>
      </c>
      <c r="D551" s="474">
        <f t="shared" si="70"/>
        <v>1.5388485521905949E-3</v>
      </c>
    </row>
    <row r="552" spans="1:4" x14ac:dyDescent="0.25">
      <c r="A552" s="515">
        <v>6.7021892156635857E-2</v>
      </c>
      <c r="B552" s="515">
        <v>6.8345181164578984E-3</v>
      </c>
      <c r="C552" s="474">
        <f t="shared" si="71"/>
        <v>2.6386571715210967</v>
      </c>
      <c r="D552" s="474">
        <f t="shared" si="70"/>
        <v>1.5364607898684245E-3</v>
      </c>
    </row>
    <row r="553" spans="1:4" x14ac:dyDescent="0.25">
      <c r="A553" s="515">
        <v>6.7396316135164544E-2</v>
      </c>
      <c r="B553" s="515">
        <v>6.8238042792394607E-3</v>
      </c>
      <c r="C553" s="474">
        <f t="shared" si="71"/>
        <v>2.6533982730379742</v>
      </c>
      <c r="D553" s="474">
        <f t="shared" si="70"/>
        <v>1.5340522234538411E-3</v>
      </c>
    </row>
    <row r="554" spans="1:4" x14ac:dyDescent="0.25">
      <c r="A554" s="515">
        <v>6.7770740113693231E-2</v>
      </c>
      <c r="B554" s="515">
        <v>6.812997034267505E-3</v>
      </c>
      <c r="C554" s="474">
        <f t="shared" si="71"/>
        <v>2.6681393745548516</v>
      </c>
      <c r="D554" s="474">
        <f t="shared" si="70"/>
        <v>1.5316226581409732E-3</v>
      </c>
    </row>
    <row r="555" spans="1:4" x14ac:dyDescent="0.25">
      <c r="A555" s="515">
        <v>6.8145164092221933E-2</v>
      </c>
      <c r="B555" s="515">
        <v>6.8020954964516031E-3</v>
      </c>
      <c r="C555" s="474">
        <f t="shared" si="71"/>
        <v>2.6828804760717295</v>
      </c>
      <c r="D555" s="474">
        <f t="shared" si="70"/>
        <v>1.529171894953578E-3</v>
      </c>
    </row>
    <row r="556" spans="1:4" x14ac:dyDescent="0.25">
      <c r="A556" s="515">
        <v>6.851958807075062E-2</v>
      </c>
      <c r="B556" s="515">
        <v>6.7910987616131117E-3</v>
      </c>
      <c r="C556" s="474">
        <f t="shared" si="71"/>
        <v>2.697621577588607</v>
      </c>
      <c r="D556" s="474">
        <f t="shared" si="70"/>
        <v>1.5266997306242107E-3</v>
      </c>
    </row>
    <row r="557" spans="1:4" x14ac:dyDescent="0.25">
      <c r="A557" s="515">
        <v>6.8894012049279307E-2</v>
      </c>
      <c r="B557" s="515">
        <v>6.7800059059270942E-3</v>
      </c>
      <c r="C557" s="474">
        <f t="shared" si="71"/>
        <v>2.7123626791054845</v>
      </c>
      <c r="D557" s="474">
        <f t="shared" si="70"/>
        <v>1.5242059574687643E-3</v>
      </c>
    </row>
    <row r="558" spans="1:4" x14ac:dyDescent="0.25">
      <c r="A558" s="515">
        <v>6.9268436027808009E-2</v>
      </c>
      <c r="B558" s="515">
        <v>6.7688159853426652E-3</v>
      </c>
      <c r="C558" s="474">
        <f t="shared" si="71"/>
        <v>2.7271037806223628</v>
      </c>
      <c r="D558" s="474">
        <f t="shared" si="70"/>
        <v>1.5216903632561576E-3</v>
      </c>
    </row>
    <row r="559" spans="1:4" x14ac:dyDescent="0.25">
      <c r="A559" s="515">
        <v>6.9642860006336696E-2</v>
      </c>
      <c r="B559" s="515">
        <v>6.7575280349807566E-3</v>
      </c>
      <c r="C559" s="474">
        <f t="shared" si="71"/>
        <v>2.7418448821392398</v>
      </c>
      <c r="D559" s="474">
        <f t="shared" si="70"/>
        <v>1.5191527310729478E-3</v>
      </c>
    </row>
    <row r="560" spans="1:4" x14ac:dyDescent="0.25">
      <c r="A560" s="515">
        <v>7.0017283984865383E-2</v>
      </c>
      <c r="B560" s="515">
        <v>6.746141068508198E-3</v>
      </c>
      <c r="C560" s="474">
        <f t="shared" si="71"/>
        <v>2.7565859836561173</v>
      </c>
      <c r="D560" s="474">
        <f t="shared" si="70"/>
        <v>1.5165928391826181E-3</v>
      </c>
    </row>
    <row r="561" spans="1:4" x14ac:dyDescent="0.25">
      <c r="A561" s="515">
        <v>7.0391707963394085E-2</v>
      </c>
      <c r="B561" s="515">
        <v>6.734654077486954E-3</v>
      </c>
      <c r="C561" s="474">
        <f t="shared" si="71"/>
        <v>2.7713270851729952</v>
      </c>
      <c r="D561" s="474">
        <f t="shared" si="70"/>
        <v>1.5140104608792799E-3</v>
      </c>
    </row>
    <row r="562" spans="1:4" x14ac:dyDescent="0.25">
      <c r="A562" s="515">
        <v>7.0766131941922772E-2</v>
      </c>
      <c r="B562" s="515">
        <v>6.7230660306973446E-3</v>
      </c>
      <c r="C562" s="474">
        <f t="shared" si="71"/>
        <v>2.7860681866898731</v>
      </c>
      <c r="D562" s="474">
        <f t="shared" si="70"/>
        <v>1.5114053643355278E-3</v>
      </c>
    </row>
    <row r="563" spans="1:4" x14ac:dyDescent="0.25">
      <c r="A563" s="515">
        <v>7.1140555920451459E-2</v>
      </c>
      <c r="B563" s="515">
        <v>6.7113758734339037E-3</v>
      </c>
      <c r="C563" s="474">
        <f t="shared" si="71"/>
        <v>2.8008092882067501</v>
      </c>
      <c r="D563" s="474">
        <f t="shared" si="70"/>
        <v>1.5087773124441413E-3</v>
      </c>
    </row>
    <row r="564" spans="1:4" x14ac:dyDescent="0.25">
      <c r="A564" s="515">
        <v>7.151497989898016E-2</v>
      </c>
      <c r="B564" s="515">
        <v>6.6995825267725708E-3</v>
      </c>
      <c r="C564" s="474">
        <f t="shared" si="71"/>
        <v>2.8155503897236285</v>
      </c>
      <c r="D564" s="474">
        <f t="shared" si="70"/>
        <v>1.5061260626533434E-3</v>
      </c>
    </row>
    <row r="565" spans="1:4" x14ac:dyDescent="0.25">
      <c r="A565" s="515">
        <v>7.1889403877508848E-2</v>
      </c>
      <c r="B565" s="515">
        <v>6.6876848868077403E-3</v>
      </c>
      <c r="C565" s="474">
        <f t="shared" si="71"/>
        <v>2.8302914912405055</v>
      </c>
      <c r="D565" s="474">
        <f t="shared" ref="D565:D628" si="72">B565*$AB$8</f>
        <v>1.5034513667952823E-3</v>
      </c>
    </row>
    <row r="566" spans="1:4" x14ac:dyDescent="0.25">
      <c r="A566" s="515">
        <v>7.2263827856037535E-2</v>
      </c>
      <c r="B566" s="515">
        <v>6.6756818238576376E-3</v>
      </c>
      <c r="C566" s="474">
        <f t="shared" ref="C566:C629" si="73">A566*100/$Z$2</f>
        <v>2.8450325927573834</v>
      </c>
      <c r="D566" s="474">
        <f t="shared" si="72"/>
        <v>1.5007529709073931E-3</v>
      </c>
    </row>
    <row r="567" spans="1:4" x14ac:dyDescent="0.25">
      <c r="A567" s="515">
        <v>7.2638251834566236E-2</v>
      </c>
      <c r="B567" s="515">
        <v>6.6635721816364181E-3</v>
      </c>
      <c r="C567" s="474">
        <f t="shared" si="73"/>
        <v>2.8597736942742613</v>
      </c>
      <c r="D567" s="474">
        <f t="shared" si="72"/>
        <v>1.4980306150462776E-3</v>
      </c>
    </row>
    <row r="568" spans="1:4" x14ac:dyDescent="0.25">
      <c r="A568" s="515">
        <v>7.3012675813094924E-2</v>
      </c>
      <c r="B568" s="515">
        <v>6.6513547763912585E-3</v>
      </c>
      <c r="C568" s="474">
        <f t="shared" si="73"/>
        <v>2.8745147957911388</v>
      </c>
      <c r="D568" s="474">
        <f t="shared" si="72"/>
        <v>1.4952840330937156E-3</v>
      </c>
    </row>
    <row r="569" spans="1:4" x14ac:dyDescent="0.25">
      <c r="A569" s="515">
        <v>7.3387099791623611E-2</v>
      </c>
      <c r="B569" s="515">
        <v>6.6390283960025987E-3</v>
      </c>
      <c r="C569" s="474">
        <f t="shared" si="73"/>
        <v>2.8892558973080162</v>
      </c>
      <c r="D569" s="474">
        <f t="shared" si="72"/>
        <v>1.4925129525543909E-3</v>
      </c>
    </row>
    <row r="570" spans="1:4" x14ac:dyDescent="0.25">
      <c r="A570" s="515">
        <v>7.3761523770152312E-2</v>
      </c>
      <c r="B570" s="515">
        <v>6.6265917990456207E-3</v>
      </c>
      <c r="C570" s="474">
        <f t="shared" si="73"/>
        <v>2.9039969988248941</v>
      </c>
      <c r="D570" s="474">
        <f t="shared" si="72"/>
        <v>1.4897170943449028E-3</v>
      </c>
    </row>
    <row r="571" spans="1:4" x14ac:dyDescent="0.25">
      <c r="A571" s="515">
        <v>7.4135947748681E-2</v>
      </c>
      <c r="B571" s="515">
        <v>6.6140437138108663E-3</v>
      </c>
      <c r="C571" s="474">
        <f t="shared" si="73"/>
        <v>2.9187381003417716</v>
      </c>
      <c r="D571" s="474">
        <f t="shared" si="72"/>
        <v>1.4868961725735931E-3</v>
      </c>
    </row>
    <row r="572" spans="1:4" x14ac:dyDescent="0.25">
      <c r="A572" s="515">
        <v>7.4510371727209687E-2</v>
      </c>
      <c r="B572" s="515">
        <v>6.6013828372818318E-3</v>
      </c>
      <c r="C572" s="474">
        <f t="shared" si="73"/>
        <v>2.9334792018586491</v>
      </c>
      <c r="D572" s="474">
        <f t="shared" si="72"/>
        <v>1.4840498943106994E-3</v>
      </c>
    </row>
    <row r="573" spans="1:4" x14ac:dyDescent="0.25">
      <c r="A573" s="515">
        <v>7.4884795705738388E-2</v>
      </c>
      <c r="B573" s="515">
        <v>6.5886078340671624E-3</v>
      </c>
      <c r="C573" s="474">
        <f t="shared" si="73"/>
        <v>2.948220303375527</v>
      </c>
      <c r="D573" s="474">
        <f t="shared" si="72"/>
        <v>1.4811779593483037E-3</v>
      </c>
    </row>
    <row r="574" spans="1:4" x14ac:dyDescent="0.25">
      <c r="A574" s="515">
        <v>7.5259219684267076E-2</v>
      </c>
      <c r="B574" s="515">
        <v>6.5757173352850012E-3</v>
      </c>
      <c r="C574" s="474">
        <f t="shared" si="73"/>
        <v>2.9629614048924049</v>
      </c>
      <c r="D574" s="474">
        <f t="shared" si="72"/>
        <v>1.4782800599495232E-3</v>
      </c>
    </row>
    <row r="575" spans="1:4" x14ac:dyDescent="0.25">
      <c r="A575" s="515">
        <v>7.5633643662795763E-2</v>
      </c>
      <c r="B575" s="515">
        <v>6.5627099373967964E-3</v>
      </c>
      <c r="C575" s="474">
        <f t="shared" si="73"/>
        <v>2.9777025064092819</v>
      </c>
      <c r="D575" s="474">
        <f t="shared" si="72"/>
        <v>1.4753558805863406E-3</v>
      </c>
    </row>
    <row r="576" spans="1:4" x14ac:dyDescent="0.25">
      <c r="A576" s="515">
        <v>7.6008067641324464E-2</v>
      </c>
      <c r="B576" s="515">
        <v>6.5495842009877774E-3</v>
      </c>
      <c r="C576" s="474">
        <f t="shared" si="73"/>
        <v>2.9924436079261598</v>
      </c>
      <c r="D576" s="474">
        <f t="shared" si="72"/>
        <v>1.4724050976654434E-3</v>
      </c>
    </row>
    <row r="577" spans="1:4" x14ac:dyDescent="0.25">
      <c r="A577" s="515">
        <v>7.6382491619853152E-2</v>
      </c>
      <c r="B577" s="515">
        <v>6.5363386494910504E-3</v>
      </c>
      <c r="C577" s="474">
        <f t="shared" si="73"/>
        <v>3.0071847094430373</v>
      </c>
      <c r="D577" s="474">
        <f t="shared" si="72"/>
        <v>1.46942737924139E-3</v>
      </c>
    </row>
    <row r="578" spans="1:4" x14ac:dyDescent="0.25">
      <c r="A578" s="515">
        <v>7.6756915598381839E-2</v>
      </c>
      <c r="B578" s="515">
        <v>6.5229717678521072E-3</v>
      </c>
      <c r="C578" s="474">
        <f t="shared" si="73"/>
        <v>3.0219258109599152</v>
      </c>
      <c r="D578" s="474">
        <f t="shared" si="72"/>
        <v>1.4664223847163783E-3</v>
      </c>
    </row>
    <row r="579" spans="1:4" x14ac:dyDescent="0.25">
      <c r="A579" s="515">
        <v>7.713133957691054E-2</v>
      </c>
      <c r="B579" s="515">
        <v>6.5094820011303116E-3</v>
      </c>
      <c r="C579" s="474">
        <f t="shared" si="73"/>
        <v>3.0366669124767931</v>
      </c>
      <c r="D579" s="474">
        <f t="shared" si="72"/>
        <v>1.4633897645258487E-3</v>
      </c>
    </row>
    <row r="580" spans="1:4" x14ac:dyDescent="0.25">
      <c r="A580" s="515">
        <v>7.7505763555439228E-2</v>
      </c>
      <c r="B580" s="515">
        <v>6.4958677530336534E-3</v>
      </c>
      <c r="C580" s="474">
        <f t="shared" si="73"/>
        <v>3.0514080139936706</v>
      </c>
      <c r="D580" s="474">
        <f t="shared" si="72"/>
        <v>1.4603291598090824E-3</v>
      </c>
    </row>
    <row r="581" spans="1:4" x14ac:dyDescent="0.25">
      <c r="A581" s="515">
        <v>7.7880187533967915E-2</v>
      </c>
      <c r="B581" s="515">
        <v>6.4821273843828735E-3</v>
      </c>
      <c r="C581" s="474">
        <f t="shared" si="73"/>
        <v>3.0661491155105476</v>
      </c>
      <c r="D581" s="474">
        <f t="shared" si="72"/>
        <v>1.4572402020639236E-3</v>
      </c>
    </row>
    <row r="582" spans="1:4" x14ac:dyDescent="0.25">
      <c r="A582" s="515">
        <v>7.8254611512496616E-2</v>
      </c>
      <c r="B582" s="515">
        <v>6.4682592115007046E-3</v>
      </c>
      <c r="C582" s="474">
        <f t="shared" si="73"/>
        <v>3.0808902170274259</v>
      </c>
      <c r="D582" s="474">
        <f t="shared" si="72"/>
        <v>1.4541225127846665E-3</v>
      </c>
    </row>
    <row r="583" spans="1:4" x14ac:dyDescent="0.25">
      <c r="A583" s="515">
        <v>7.8629035491025304E-2</v>
      </c>
      <c r="B583" s="515">
        <v>6.4542615045217449E-3</v>
      </c>
      <c r="C583" s="474">
        <f t="shared" si="73"/>
        <v>3.0956313185443034</v>
      </c>
      <c r="D583" s="474">
        <f t="shared" si="72"/>
        <v>1.4509757030820997E-3</v>
      </c>
    </row>
    <row r="584" spans="1:4" x14ac:dyDescent="0.25">
      <c r="A584" s="515">
        <v>7.9003459469553991E-2</v>
      </c>
      <c r="B584" s="515">
        <v>6.4401324856180921E-3</v>
      </c>
      <c r="C584" s="474">
        <f t="shared" si="73"/>
        <v>3.1103724200611809</v>
      </c>
      <c r="D584" s="474">
        <f t="shared" si="72"/>
        <v>1.4477993732846123E-3</v>
      </c>
    </row>
    <row r="585" spans="1:4" x14ac:dyDescent="0.25">
      <c r="A585" s="515">
        <v>7.9377883448082692E-2</v>
      </c>
      <c r="B585" s="515">
        <v>6.425870327135561E-3</v>
      </c>
      <c r="C585" s="474">
        <f t="shared" si="73"/>
        <v>3.1251135215780588</v>
      </c>
      <c r="D585" s="474">
        <f t="shared" si="72"/>
        <v>1.4445931125192E-3</v>
      </c>
    </row>
    <row r="586" spans="1:4" x14ac:dyDescent="0.25">
      <c r="A586" s="515">
        <v>7.975230742661138E-2</v>
      </c>
      <c r="B586" s="515">
        <v>6.411473149634906E-3</v>
      </c>
      <c r="C586" s="474">
        <f t="shared" si="73"/>
        <v>3.1398546230949362</v>
      </c>
      <c r="D586" s="474">
        <f t="shared" si="72"/>
        <v>1.4413564982711136E-3</v>
      </c>
    </row>
    <row r="587" spans="1:4" x14ac:dyDescent="0.25">
      <c r="A587" s="515">
        <v>8.0126731405140067E-2</v>
      </c>
      <c r="B587" s="515">
        <v>6.3969390198320318E-3</v>
      </c>
      <c r="C587" s="474">
        <f t="shared" si="73"/>
        <v>3.1545957246118137</v>
      </c>
      <c r="D587" s="474">
        <f t="shared" si="72"/>
        <v>1.4380890959208002E-3</v>
      </c>
    </row>
    <row r="588" spans="1:4" x14ac:dyDescent="0.25">
      <c r="A588" s="515">
        <v>8.0501155383668768E-2</v>
      </c>
      <c r="B588" s="515">
        <v>6.3822659484307548E-3</v>
      </c>
      <c r="C588" s="474">
        <f t="shared" si="73"/>
        <v>3.1693368261286916</v>
      </c>
      <c r="D588" s="474">
        <f t="shared" si="72"/>
        <v>1.4347904582566885E-3</v>
      </c>
    </row>
    <row r="589" spans="1:4" x14ac:dyDescent="0.25">
      <c r="A589" s="515">
        <v>8.0875579362197456E-2</v>
      </c>
      <c r="B589" s="515">
        <v>6.3674518878411839E-3</v>
      </c>
      <c r="C589" s="474">
        <f t="shared" si="73"/>
        <v>3.1840779276455691</v>
      </c>
      <c r="D589" s="474">
        <f t="shared" si="72"/>
        <v>1.4314601249622604E-3</v>
      </c>
    </row>
    <row r="590" spans="1:4" x14ac:dyDescent="0.25">
      <c r="A590" s="515">
        <v>8.1250003340726143E-2</v>
      </c>
      <c r="B590" s="515">
        <v>6.3524947297762084E-3</v>
      </c>
      <c r="C590" s="474">
        <f t="shared" si="73"/>
        <v>3.198819029162447</v>
      </c>
      <c r="D590" s="474">
        <f t="shared" si="72"/>
        <v>1.4280976220757205E-3</v>
      </c>
    </row>
    <row r="591" spans="1:4" x14ac:dyDescent="0.25">
      <c r="A591" s="515">
        <v>8.1624427319254844E-2</v>
      </c>
      <c r="B591" s="515">
        <v>6.3373923027180579E-3</v>
      </c>
      <c r="C591" s="474">
        <f t="shared" si="73"/>
        <v>3.2135601306793244</v>
      </c>
      <c r="D591" s="474">
        <f t="shared" si="72"/>
        <v>1.4247024614204551E-3</v>
      </c>
    </row>
    <row r="592" spans="1:4" x14ac:dyDescent="0.25">
      <c r="A592" s="515">
        <v>8.1998851297783532E-2</v>
      </c>
      <c r="B592" s="515">
        <v>6.3221423692462059E-3</v>
      </c>
      <c r="C592" s="474">
        <f t="shared" si="73"/>
        <v>3.2283012321962019</v>
      </c>
      <c r="D592" s="474">
        <f t="shared" si="72"/>
        <v>1.4212741400043221E-3</v>
      </c>
    </row>
    <row r="593" spans="1:4" x14ac:dyDescent="0.25">
      <c r="A593" s="515">
        <v>8.2373275276312219E-2</v>
      </c>
      <c r="B593" s="515">
        <v>6.306742623217218E-3</v>
      </c>
      <c r="C593" s="474">
        <f t="shared" si="73"/>
        <v>3.2430423337130798</v>
      </c>
      <c r="D593" s="474">
        <f t="shared" si="72"/>
        <v>1.4178121393856546E-3</v>
      </c>
    </row>
    <row r="594" spans="1:4" x14ac:dyDescent="0.25">
      <c r="A594" s="515">
        <v>8.274769925484092E-2</v>
      </c>
      <c r="B594" s="515">
        <v>6.2911906867863833E-3</v>
      </c>
      <c r="C594" s="474">
        <f t="shared" si="73"/>
        <v>3.2577834352299573</v>
      </c>
      <c r="D594" s="474">
        <f t="shared" si="72"/>
        <v>1.4143159250036977E-3</v>
      </c>
    </row>
    <row r="595" spans="1:4" x14ac:dyDescent="0.25">
      <c r="A595" s="515">
        <v>8.3122123233369608E-2</v>
      </c>
      <c r="B595" s="515">
        <v>6.2754841072601032E-3</v>
      </c>
      <c r="C595" s="474">
        <f t="shared" si="73"/>
        <v>3.2725245367468352</v>
      </c>
      <c r="D595" s="474">
        <f t="shared" si="72"/>
        <v>1.4107849454709979E-3</v>
      </c>
    </row>
    <row r="596" spans="1:4" x14ac:dyDescent="0.25">
      <c r="A596" s="515">
        <v>8.3496547211898295E-2</v>
      </c>
      <c r="B596" s="515">
        <v>6.2596203537671272E-3</v>
      </c>
      <c r="C596" s="474">
        <f t="shared" si="73"/>
        <v>3.2872656382637122</v>
      </c>
      <c r="D596" s="474">
        <f t="shared" si="72"/>
        <v>1.4072186318250654E-3</v>
      </c>
    </row>
    <row r="597" spans="1:4" x14ac:dyDescent="0.25">
      <c r="A597" s="515">
        <v>8.3870971190426996E-2</v>
      </c>
      <c r="B597" s="515">
        <v>6.2435968137357009E-3</v>
      </c>
      <c r="C597" s="474">
        <f t="shared" si="73"/>
        <v>3.3020067397805906</v>
      </c>
      <c r="D597" s="474">
        <f t="shared" si="72"/>
        <v>1.4036163967364075E-3</v>
      </c>
    </row>
    <row r="598" spans="1:4" x14ac:dyDescent="0.25">
      <c r="A598" s="515">
        <v>8.4245395168955683E-2</v>
      </c>
      <c r="B598" s="515">
        <v>6.2274107891625834E-3</v>
      </c>
      <c r="C598" s="474">
        <f t="shared" si="73"/>
        <v>3.3167478412974676</v>
      </c>
      <c r="D598" s="474">
        <f t="shared" si="72"/>
        <v>1.3999776336697685E-3</v>
      </c>
    </row>
    <row r="599" spans="1:4" x14ac:dyDescent="0.25">
      <c r="A599" s="515">
        <v>8.4619819147484371E-2</v>
      </c>
      <c r="B599" s="515">
        <v>6.2110594926586722E-3</v>
      </c>
      <c r="C599" s="474">
        <f t="shared" si="73"/>
        <v>3.331488942814345</v>
      </c>
      <c r="D599" s="474">
        <f t="shared" si="72"/>
        <v>1.3963017159951522E-3</v>
      </c>
    </row>
    <row r="600" spans="1:4" x14ac:dyDescent="0.25">
      <c r="A600" s="515">
        <v>8.4994243126013058E-2</v>
      </c>
      <c r="B600" s="515">
        <v>6.19454004325465E-3</v>
      </c>
      <c r="C600" s="474">
        <f t="shared" si="73"/>
        <v>3.346230044331223</v>
      </c>
      <c r="D600" s="474">
        <f t="shared" si="72"/>
        <v>1.3925879960448933E-3</v>
      </c>
    </row>
    <row r="601" spans="1:4" x14ac:dyDescent="0.25">
      <c r="A601" s="515">
        <v>8.5368667104541759E-2</v>
      </c>
      <c r="B601" s="515">
        <v>6.1778494619485654E-3</v>
      </c>
      <c r="C601" s="474">
        <f t="shared" si="73"/>
        <v>3.3609711458481004</v>
      </c>
      <c r="D601" s="474">
        <f t="shared" si="72"/>
        <v>1.3888358041127136E-3</v>
      </c>
    </row>
    <row r="602" spans="1:4" x14ac:dyDescent="0.25">
      <c r="A602" s="515">
        <v>8.5743091083070447E-2</v>
      </c>
      <c r="B602" s="515">
        <v>6.1609846669756401E-3</v>
      </c>
      <c r="C602" s="474">
        <f t="shared" si="73"/>
        <v>3.3757122473649783</v>
      </c>
      <c r="D602" s="474">
        <f t="shared" si="72"/>
        <v>1.3850444473903322E-3</v>
      </c>
    </row>
    <row r="603" spans="1:4" x14ac:dyDescent="0.25">
      <c r="A603" s="515">
        <v>8.6117515061599134E-2</v>
      </c>
      <c r="B603" s="515">
        <v>6.1439424687787809E-3</v>
      </c>
      <c r="C603" s="474">
        <f t="shared" si="73"/>
        <v>3.3904533488818558</v>
      </c>
      <c r="D603" s="474">
        <f t="shared" si="72"/>
        <v>1.3812132088367923E-3</v>
      </c>
    </row>
    <row r="604" spans="1:4" x14ac:dyDescent="0.25">
      <c r="A604" s="515">
        <v>8.6491939040127835E-2</v>
      </c>
      <c r="B604" s="515">
        <v>6.1267195646562802E-3</v>
      </c>
      <c r="C604" s="474">
        <f t="shared" si="73"/>
        <v>3.4051944503987337</v>
      </c>
      <c r="D604" s="474">
        <f t="shared" si="72"/>
        <v>1.3773413459752157E-3</v>
      </c>
    </row>
    <row r="605" spans="1:4" x14ac:dyDescent="0.25">
      <c r="A605" s="515">
        <v>8.6866363018656523E-2</v>
      </c>
      <c r="B605" s="515">
        <v>6.1093125330609691E-3</v>
      </c>
      <c r="C605" s="474">
        <f t="shared" si="73"/>
        <v>3.4199355519156112</v>
      </c>
      <c r="D605" s="474">
        <f t="shared" si="72"/>
        <v>1.373428089611202E-3</v>
      </c>
    </row>
    <row r="606" spans="1:4" x14ac:dyDescent="0.25">
      <c r="A606" s="515">
        <v>8.724078699718521E-2</v>
      </c>
      <c r="B606" s="515">
        <v>6.0917178275226181E-3</v>
      </c>
      <c r="C606" s="474">
        <f t="shared" si="73"/>
        <v>3.4346766534324886</v>
      </c>
      <c r="D606" s="474">
        <f t="shared" si="72"/>
        <v>1.3694726424665292E-3</v>
      </c>
    </row>
    <row r="607" spans="1:4" x14ac:dyDescent="0.25">
      <c r="A607" s="515">
        <v>8.7615210975713911E-2</v>
      </c>
      <c r="B607" s="515">
        <v>6.0739317701626501E-3</v>
      </c>
      <c r="C607" s="474">
        <f t="shared" si="73"/>
        <v>3.4494177549493665</v>
      </c>
      <c r="D607" s="474">
        <f t="shared" si="72"/>
        <v>1.3654741777212043E-3</v>
      </c>
    </row>
    <row r="608" spans="1:4" x14ac:dyDescent="0.25">
      <c r="A608" s="515">
        <v>8.7989634954242599E-2</v>
      </c>
      <c r="B608" s="515">
        <v>6.0559505447671715E-3</v>
      </c>
      <c r="C608" s="474">
        <f t="shared" si="73"/>
        <v>3.464158856466244</v>
      </c>
      <c r="D608" s="474">
        <f t="shared" si="72"/>
        <v>1.3614318374562176E-3</v>
      </c>
    </row>
    <row r="609" spans="1:4" x14ac:dyDescent="0.25">
      <c r="A609" s="515">
        <v>8.8364058932771286E-2</v>
      </c>
      <c r="B609" s="515">
        <v>6.0377701893809047E-3</v>
      </c>
      <c r="C609" s="474">
        <f t="shared" si="73"/>
        <v>3.478899957983121</v>
      </c>
      <c r="D609" s="474">
        <f t="shared" si="72"/>
        <v>1.3573447309885931E-3</v>
      </c>
    </row>
    <row r="610" spans="1:4" x14ac:dyDescent="0.25">
      <c r="A610" s="515">
        <v>8.8738482911299987E-2</v>
      </c>
      <c r="B610" s="515">
        <v>6.0193865883808647E-3</v>
      </c>
      <c r="C610" s="474">
        <f t="shared" si="73"/>
        <v>3.4936410594999994</v>
      </c>
      <c r="D610" s="474">
        <f t="shared" si="72"/>
        <v>1.35321193308948E-3</v>
      </c>
    </row>
    <row r="611" spans="1:4" x14ac:dyDescent="0.25">
      <c r="A611" s="515">
        <v>8.9112906889828675E-2</v>
      </c>
      <c r="B611" s="515">
        <v>6.0007954639842674E-3</v>
      </c>
      <c r="C611" s="474">
        <f t="shared" si="73"/>
        <v>3.5083821610168773</v>
      </c>
      <c r="D611" s="474">
        <f t="shared" si="72"/>
        <v>1.3490324820750548E-3</v>
      </c>
    </row>
    <row r="612" spans="1:4" x14ac:dyDescent="0.25">
      <c r="A612" s="515">
        <v>8.9487330868357362E-2</v>
      </c>
      <c r="B612" s="515">
        <v>5.9819923671404537E-3</v>
      </c>
      <c r="C612" s="474">
        <f t="shared" si="73"/>
        <v>3.5231232625337543</v>
      </c>
      <c r="D612" s="474">
        <f t="shared" si="72"/>
        <v>1.3448053777589436E-3</v>
      </c>
    </row>
    <row r="613" spans="1:4" x14ac:dyDescent="0.25">
      <c r="A613" s="515">
        <v>8.9861754846886063E-2</v>
      </c>
      <c r="B613" s="515">
        <v>5.9629726677512401E-3</v>
      </c>
      <c r="C613" s="474">
        <f t="shared" si="73"/>
        <v>3.5378643640506326</v>
      </c>
      <c r="D613" s="474">
        <f t="shared" si="72"/>
        <v>1.3405295792536707E-3</v>
      </c>
    </row>
    <row r="614" spans="1:4" x14ac:dyDescent="0.25">
      <c r="A614" s="515">
        <v>9.0236178825414751E-2</v>
      </c>
      <c r="B614" s="515">
        <v>5.943731544158037E-3</v>
      </c>
      <c r="C614" s="474">
        <f t="shared" si="73"/>
        <v>3.5526054655675097</v>
      </c>
      <c r="D614" s="474">
        <f t="shared" si="72"/>
        <v>1.3362040026072678E-3</v>
      </c>
    </row>
    <row r="615" spans="1:4" x14ac:dyDescent="0.25">
      <c r="A615" s="515">
        <v>9.0610602803943438E-2</v>
      </c>
      <c r="B615" s="515">
        <v>5.9242639718272913E-3</v>
      </c>
      <c r="C615" s="474">
        <f t="shared" si="73"/>
        <v>3.5673465670843871</v>
      </c>
      <c r="D615" s="474">
        <f t="shared" si="72"/>
        <v>1.3318275182596601E-3</v>
      </c>
    </row>
    <row r="616" spans="1:4" x14ac:dyDescent="0.25">
      <c r="A616" s="515">
        <v>9.0985026782472139E-2</v>
      </c>
      <c r="B616" s="515">
        <v>5.9045647111581299E-3</v>
      </c>
      <c r="C616" s="474">
        <f t="shared" si="73"/>
        <v>3.5820876686012655</v>
      </c>
      <c r="D616" s="474">
        <f t="shared" si="72"/>
        <v>1.3273989483017169E-3</v>
      </c>
    </row>
    <row r="617" spans="1:4" x14ac:dyDescent="0.25">
      <c r="A617" s="515">
        <v>9.1359450761000827E-2</v>
      </c>
      <c r="B617" s="515">
        <v>5.8846282943273622E-3</v>
      </c>
      <c r="C617" s="474">
        <f t="shared" si="73"/>
        <v>3.5968287701181425</v>
      </c>
      <c r="D617" s="474">
        <f t="shared" si="72"/>
        <v>1.3229170635178894E-3</v>
      </c>
    </row>
    <row r="618" spans="1:4" x14ac:dyDescent="0.25">
      <c r="A618" s="515">
        <v>9.1733874739529514E-2</v>
      </c>
      <c r="B618" s="515">
        <v>5.8644490110771148E-3</v>
      </c>
      <c r="C618" s="474">
        <f t="shared" si="73"/>
        <v>3.6115698716350204</v>
      </c>
      <c r="D618" s="474">
        <f t="shared" si="72"/>
        <v>1.3183805801911435E-3</v>
      </c>
    </row>
    <row r="619" spans="1:4" x14ac:dyDescent="0.25">
      <c r="A619" s="515">
        <v>9.2108298718058215E-2</v>
      </c>
      <c r="B619" s="515">
        <v>5.8440208933391857E-3</v>
      </c>
      <c r="C619" s="474">
        <f t="shared" si="73"/>
        <v>3.6263109731518979</v>
      </c>
      <c r="D619" s="474">
        <f t="shared" si="72"/>
        <v>1.3137881566463786E-3</v>
      </c>
    </row>
    <row r="620" spans="1:4" x14ac:dyDescent="0.25">
      <c r="A620" s="515">
        <v>9.2482722696586903E-2</v>
      </c>
      <c r="B620" s="515">
        <v>5.82333769857737E-3</v>
      </c>
      <c r="C620" s="474">
        <f t="shared" si="73"/>
        <v>3.6410520746687758</v>
      </c>
      <c r="D620" s="474">
        <f t="shared" si="72"/>
        <v>1.309138389505632E-3</v>
      </c>
    </row>
    <row r="621" spans="1:4" x14ac:dyDescent="0.25">
      <c r="A621" s="515">
        <v>9.285714667511559E-2</v>
      </c>
      <c r="B621" s="515">
        <v>5.8023928917144436E-3</v>
      </c>
      <c r="C621" s="474">
        <f t="shared" si="73"/>
        <v>3.6557931761856532</v>
      </c>
      <c r="D621" s="474">
        <f t="shared" si="72"/>
        <v>1.3044298096251048E-3</v>
      </c>
    </row>
    <row r="622" spans="1:4" x14ac:dyDescent="0.25">
      <c r="A622" s="515">
        <v>9.3231570653644291E-2</v>
      </c>
      <c r="B622" s="515">
        <v>5.7811796254937401E-3</v>
      </c>
      <c r="C622" s="474">
        <f t="shared" si="73"/>
        <v>3.6705342777025307</v>
      </c>
      <c r="D622" s="474">
        <f t="shared" si="72"/>
        <v>1.2996608776802666E-3</v>
      </c>
    </row>
    <row r="623" spans="1:4" x14ac:dyDescent="0.25">
      <c r="A623" s="515">
        <v>9.3605994632172979E-2</v>
      </c>
      <c r="B623" s="515">
        <v>5.7596907191060955E-3</v>
      </c>
      <c r="C623" s="474">
        <f t="shared" si="73"/>
        <v>3.6852753792194086</v>
      </c>
      <c r="D623" s="474">
        <f t="shared" si="72"/>
        <v>1.2948299793610035E-3</v>
      </c>
    </row>
    <row r="624" spans="1:4" x14ac:dyDescent="0.25">
      <c r="A624" s="515">
        <v>9.3980418610701666E-2</v>
      </c>
      <c r="B624" s="515">
        <v>5.7379186348908342E-3</v>
      </c>
      <c r="C624" s="474">
        <f t="shared" si="73"/>
        <v>3.7000164807362861</v>
      </c>
      <c r="D624" s="474">
        <f t="shared" si="72"/>
        <v>1.2899354201337907E-3</v>
      </c>
    </row>
    <row r="625" spans="1:4" x14ac:dyDescent="0.25">
      <c r="A625" s="515">
        <v>9.4354842589230367E-2</v>
      </c>
      <c r="B625" s="515">
        <v>5.7158554528940189E-3</v>
      </c>
      <c r="C625" s="474">
        <f t="shared" si="73"/>
        <v>3.714757582253164</v>
      </c>
      <c r="D625" s="474">
        <f t="shared" si="72"/>
        <v>1.2849754195221592E-3</v>
      </c>
    </row>
    <row r="626" spans="1:4" x14ac:dyDescent="0.25">
      <c r="A626" s="515">
        <v>9.4729266567759055E-2</v>
      </c>
      <c r="B626" s="515">
        <v>5.6934928430377122E-3</v>
      </c>
      <c r="C626" s="474">
        <f t="shared" si="73"/>
        <v>3.7294986837700415</v>
      </c>
      <c r="D626" s="474">
        <f t="shared" si="72"/>
        <v>1.2799481048500975E-3</v>
      </c>
    </row>
    <row r="627" spans="1:4" x14ac:dyDescent="0.25">
      <c r="A627" s="515">
        <v>9.5103690546287742E-2</v>
      </c>
      <c r="B627" s="515">
        <v>5.6708220346197939E-3</v>
      </c>
      <c r="C627" s="474">
        <f t="shared" si="73"/>
        <v>3.7442397852869185</v>
      </c>
      <c r="D627" s="474">
        <f t="shared" si="72"/>
        <v>1.2748515043853373E-3</v>
      </c>
    </row>
    <row r="628" spans="1:4" x14ac:dyDescent="0.25">
      <c r="A628" s="515">
        <v>9.5478114524816443E-2</v>
      </c>
      <c r="B628" s="515">
        <v>5.6478337828241142E-3</v>
      </c>
      <c r="C628" s="474">
        <f t="shared" si="73"/>
        <v>3.7589808868037968</v>
      </c>
      <c r="D628" s="474">
        <f t="shared" si="72"/>
        <v>1.2696835398105374E-3</v>
      </c>
    </row>
    <row r="629" spans="1:4" x14ac:dyDescent="0.25">
      <c r="A629" s="515">
        <v>9.585253850334513E-2</v>
      </c>
      <c r="B629" s="515">
        <v>5.6245183318742826E-3</v>
      </c>
      <c r="C629" s="474">
        <f t="shared" si="73"/>
        <v>3.7737219883206747</v>
      </c>
      <c r="D629" s="474">
        <f t="shared" ref="D629:D673" si="74">B629*$AB$8</f>
        <v>1.264442017939924E-3</v>
      </c>
    </row>
    <row r="630" spans="1:4" x14ac:dyDescent="0.25">
      <c r="A630" s="515">
        <v>9.6226962481873818E-2</v>
      </c>
      <c r="B630" s="515">
        <v>5.6008653744100134E-3</v>
      </c>
      <c r="C630" s="474">
        <f t="shared" ref="C630:C673" si="75">A630*100/$Z$2</f>
        <v>3.7884630898375518</v>
      </c>
      <c r="D630" s="474">
        <f t="shared" si="74"/>
        <v>1.2591246215867323E-3</v>
      </c>
    </row>
    <row r="631" spans="1:4" x14ac:dyDescent="0.25">
      <c r="A631" s="515">
        <v>9.6601386460402519E-2</v>
      </c>
      <c r="B631" s="515">
        <v>5.5768640066009428E-3</v>
      </c>
      <c r="C631" s="474">
        <f t="shared" si="75"/>
        <v>3.8032041913544301</v>
      </c>
      <c r="D631" s="474">
        <f t="shared" si="74"/>
        <v>1.2537288994723898E-3</v>
      </c>
    </row>
    <row r="632" spans="1:4" x14ac:dyDescent="0.25">
      <c r="A632" s="515">
        <v>9.6975810438931206E-2</v>
      </c>
      <c r="B632" s="515">
        <v>5.5525026784374772E-3</v>
      </c>
      <c r="C632" s="474">
        <f t="shared" si="75"/>
        <v>3.8179452928713071</v>
      </c>
      <c r="D632" s="474">
        <f t="shared" si="74"/>
        <v>1.2482522550514542E-3</v>
      </c>
    </row>
    <row r="633" spans="1:4" x14ac:dyDescent="0.25">
      <c r="A633" s="515">
        <v>9.7350234417459894E-2</v>
      </c>
      <c r="B633" s="515">
        <v>5.5277691385488565E-3</v>
      </c>
      <c r="C633" s="474">
        <f t="shared" si="75"/>
        <v>3.8326863943881846</v>
      </c>
      <c r="D633" s="474">
        <f t="shared" si="74"/>
        <v>1.2426919341062216E-3</v>
      </c>
    </row>
    <row r="634" spans="1:4" x14ac:dyDescent="0.25">
      <c r="A634" s="515">
        <v>9.7724658395988595E-2</v>
      </c>
      <c r="B634" s="515">
        <v>5.5026503727925169E-3</v>
      </c>
      <c r="C634" s="474">
        <f t="shared" si="75"/>
        <v>3.8474274959050629</v>
      </c>
      <c r="D634" s="474">
        <f t="shared" si="74"/>
        <v>1.2370450109410655E-3</v>
      </c>
    </row>
    <row r="635" spans="1:4" x14ac:dyDescent="0.25">
      <c r="A635" s="515">
        <v>9.8099082374517282E-2</v>
      </c>
      <c r="B635" s="515">
        <v>5.4771325357321496E-3</v>
      </c>
      <c r="C635" s="474">
        <f t="shared" si="75"/>
        <v>3.86216859742194</v>
      </c>
      <c r="D635" s="474">
        <f t="shared" si="74"/>
        <v>1.2313083729780915E-3</v>
      </c>
    </row>
    <row r="636" spans="1:4" x14ac:dyDescent="0.25">
      <c r="A636" s="515">
        <v>9.847350635304597E-2</v>
      </c>
      <c r="B636" s="515">
        <v>5.4512008739699743E-3</v>
      </c>
      <c r="C636" s="474">
        <f t="shared" si="75"/>
        <v>3.8769096989388179</v>
      </c>
      <c r="D636" s="474">
        <f t="shared" si="74"/>
        <v>1.2254787035215473E-3</v>
      </c>
    </row>
    <row r="637" spans="1:4" x14ac:dyDescent="0.25">
      <c r="A637" s="515">
        <v>9.8847930331574671E-2</v>
      </c>
      <c r="B637" s="515">
        <v>5.4248396401160278E-3</v>
      </c>
      <c r="C637" s="474">
        <f t="shared" si="75"/>
        <v>3.8916508004556953</v>
      </c>
      <c r="D637" s="474">
        <f t="shared" si="74"/>
        <v>1.219552462417349E-3</v>
      </c>
    </row>
    <row r="638" spans="1:4" x14ac:dyDescent="0.25">
      <c r="A638" s="515">
        <v>9.9222354310103358E-2</v>
      </c>
      <c r="B638" s="515">
        <v>5.3980319959560166E-3</v>
      </c>
      <c r="C638" s="474">
        <f t="shared" si="75"/>
        <v>3.9063919019725728</v>
      </c>
      <c r="D638" s="474">
        <f t="shared" si="74"/>
        <v>1.2135258642843485E-3</v>
      </c>
    </row>
    <row r="639" spans="1:4" x14ac:dyDescent="0.25">
      <c r="A639" s="515">
        <v>9.9596778288632046E-2</v>
      </c>
      <c r="B639" s="515">
        <v>5.3707599031104806E-3</v>
      </c>
      <c r="C639" s="474">
        <f t="shared" si="75"/>
        <v>3.9211330034894507</v>
      </c>
      <c r="D639" s="474">
        <f t="shared" si="74"/>
        <v>1.2073948539335364E-3</v>
      </c>
    </row>
    <row r="640" spans="1:4" x14ac:dyDescent="0.25">
      <c r="A640" s="515">
        <v>9.9971202267160747E-2</v>
      </c>
      <c r="B640" s="515">
        <v>5.3430039991493846E-3</v>
      </c>
      <c r="C640" s="474">
        <f t="shared" si="75"/>
        <v>3.9358741050063282</v>
      </c>
      <c r="D640" s="474">
        <f t="shared" si="74"/>
        <v>1.2011550785174928E-3</v>
      </c>
    </row>
    <row r="641" spans="1:4" x14ac:dyDescent="0.25">
      <c r="A641" s="515">
        <v>0.10034562624568943</v>
      </c>
      <c r="B641" s="515">
        <v>5.3147434567224466E-3</v>
      </c>
      <c r="C641" s="474">
        <f t="shared" si="75"/>
        <v>3.9506152065232061</v>
      </c>
      <c r="D641" s="474">
        <f t="shared" si="74"/>
        <v>1.1948018558616273E-3</v>
      </c>
    </row>
    <row r="642" spans="1:4" x14ac:dyDescent="0.25">
      <c r="A642" s="515">
        <v>0.10072005022421812</v>
      </c>
      <c r="B642" s="515">
        <v>5.2859558227661869E-3</v>
      </c>
      <c r="C642" s="474">
        <f t="shared" si="75"/>
        <v>3.9653563080400835</v>
      </c>
      <c r="D642" s="474">
        <f t="shared" si="74"/>
        <v>1.1883301383164844E-3</v>
      </c>
    </row>
    <row r="643" spans="1:4" x14ac:dyDescent="0.25">
      <c r="A643" s="515">
        <v>0.10109447420274682</v>
      </c>
      <c r="B643" s="515">
        <v>5.2566168342277871E-3</v>
      </c>
      <c r="C643" s="474">
        <f t="shared" si="75"/>
        <v>3.9800974095569615</v>
      </c>
      <c r="D643" s="474">
        <f t="shared" si="74"/>
        <v>1.1817344713308195E-3</v>
      </c>
    </row>
    <row r="644" spans="1:4" x14ac:dyDescent="0.25">
      <c r="A644" s="515">
        <v>0.10146889818127551</v>
      </c>
      <c r="B644" s="515">
        <v>5.2267002059681652E-3</v>
      </c>
      <c r="C644" s="474">
        <f t="shared" si="75"/>
        <v>3.9948385110738389</v>
      </c>
      <c r="D644" s="474">
        <f t="shared" si="74"/>
        <v>1.1750089457703136E-3</v>
      </c>
    </row>
    <row r="645" spans="1:4" x14ac:dyDescent="0.25">
      <c r="A645" s="515">
        <v>0.1018433221598042</v>
      </c>
      <c r="B645" s="515">
        <v>5.1961773855262391E-3</v>
      </c>
      <c r="C645" s="474">
        <f t="shared" si="75"/>
        <v>4.0095796125907164</v>
      </c>
      <c r="D645" s="474">
        <f t="shared" si="74"/>
        <v>1.1681471427863865E-3</v>
      </c>
    </row>
    <row r="646" spans="1:4" x14ac:dyDescent="0.25">
      <c r="A646" s="515">
        <v>0.1022177461383329</v>
      </c>
      <c r="B646" s="515">
        <v>5.1650172681807754E-3</v>
      </c>
      <c r="C646" s="474">
        <f t="shared" si="75"/>
        <v>4.0243207141075947</v>
      </c>
      <c r="D646" s="474">
        <f t="shared" si="74"/>
        <v>1.1611420697595532E-3</v>
      </c>
    </row>
    <row r="647" spans="1:4" x14ac:dyDescent="0.25">
      <c r="A647" s="515">
        <v>0.10259217011686159</v>
      </c>
      <c r="B647" s="515">
        <v>5.1331858641512811E-3</v>
      </c>
      <c r="C647" s="474">
        <f t="shared" si="75"/>
        <v>4.0390618156244722</v>
      </c>
      <c r="D647" s="474">
        <f t="shared" si="74"/>
        <v>1.1539860854832065E-3</v>
      </c>
    </row>
    <row r="648" spans="1:4" x14ac:dyDescent="0.25">
      <c r="A648" s="515">
        <v>0.10296659409539027</v>
      </c>
      <c r="B648" s="515">
        <v>5.1006459077196191E-3</v>
      </c>
      <c r="C648" s="474">
        <f t="shared" si="75"/>
        <v>4.0538029171413488</v>
      </c>
      <c r="D648" s="474">
        <f t="shared" si="74"/>
        <v>1.1466708122906634E-3</v>
      </c>
    </row>
    <row r="649" spans="1:4" x14ac:dyDescent="0.25">
      <c r="A649" s="515">
        <v>0.10334101807391897</v>
      </c>
      <c r="B649" s="515">
        <v>5.0673563953697051E-3</v>
      </c>
      <c r="C649" s="474">
        <f t="shared" si="75"/>
        <v>4.0685440186582271</v>
      </c>
      <c r="D649" s="474">
        <f t="shared" si="74"/>
        <v>1.1391870322248361E-3</v>
      </c>
    </row>
    <row r="650" spans="1:4" x14ac:dyDescent="0.25">
      <c r="A650" s="515">
        <v>0.10371544205244766</v>
      </c>
      <c r="B650" s="515">
        <v>5.0332720365098759E-3</v>
      </c>
      <c r="C650" s="474">
        <f t="shared" si="75"/>
        <v>4.0832851201751055</v>
      </c>
      <c r="D650" s="474">
        <f t="shared" si="74"/>
        <v>1.1315245635557102E-3</v>
      </c>
    </row>
    <row r="651" spans="1:4" x14ac:dyDescent="0.25">
      <c r="A651" s="515">
        <v>0.10408986603097635</v>
      </c>
      <c r="B651" s="515">
        <v>4.9983425956438505E-3</v>
      </c>
      <c r="C651" s="474">
        <f t="shared" si="75"/>
        <v>4.0980262216919821</v>
      </c>
      <c r="D651" s="474">
        <f t="shared" si="74"/>
        <v>1.1236721128944937E-3</v>
      </c>
    </row>
    <row r="652" spans="1:4" x14ac:dyDescent="0.25">
      <c r="A652" s="515">
        <v>0.10446429000950505</v>
      </c>
      <c r="B652" s="515">
        <v>4.9625120985356246E-3</v>
      </c>
      <c r="C652" s="474">
        <f t="shared" si="75"/>
        <v>4.1127673232088604</v>
      </c>
      <c r="D652" s="474">
        <f t="shared" si="74"/>
        <v>1.1156170967323864E-3</v>
      </c>
    </row>
    <row r="653" spans="1:4" x14ac:dyDescent="0.25">
      <c r="A653" s="515">
        <v>0.10483871398803374</v>
      </c>
      <c r="B653" s="515">
        <v>4.9257178663049943E-3</v>
      </c>
      <c r="C653" s="474">
        <f t="shared" si="75"/>
        <v>4.127508424725737</v>
      </c>
      <c r="D653" s="474">
        <f t="shared" si="74"/>
        <v>1.1073454242966163E-3</v>
      </c>
    </row>
    <row r="654" spans="1:4" x14ac:dyDescent="0.25">
      <c r="A654" s="515">
        <v>0.10521313796656243</v>
      </c>
      <c r="B654" s="515">
        <v>4.8878893295076151E-3</v>
      </c>
      <c r="C654" s="474">
        <f t="shared" si="75"/>
        <v>4.1422495262426153</v>
      </c>
      <c r="D654" s="474">
        <f t="shared" si="74"/>
        <v>1.0988412309450313E-3</v>
      </c>
    </row>
    <row r="655" spans="1:4" x14ac:dyDescent="0.25">
      <c r="A655" s="515">
        <v>0.10558756194509113</v>
      </c>
      <c r="B655" s="515">
        <v>4.8489465576085676E-3</v>
      </c>
      <c r="C655" s="474">
        <f t="shared" si="75"/>
        <v>4.1569906277594937</v>
      </c>
      <c r="D655" s="474">
        <f t="shared" si="74"/>
        <v>1.0900865475786076E-3</v>
      </c>
    </row>
    <row r="656" spans="1:4" x14ac:dyDescent="0.25">
      <c r="A656" s="515">
        <v>0.10596198592361981</v>
      </c>
      <c r="B656" s="515">
        <v>4.8087984155650403E-3</v>
      </c>
      <c r="C656" s="474">
        <f t="shared" si="75"/>
        <v>4.1717317292763703</v>
      </c>
      <c r="D656" s="474">
        <f t="shared" si="74"/>
        <v>1.0810608862247507E-3</v>
      </c>
    </row>
    <row r="657" spans="1:4" x14ac:dyDescent="0.25">
      <c r="A657" s="515">
        <v>0.1063364099021485</v>
      </c>
      <c r="B657" s="515">
        <v>4.7673402249046679E-3</v>
      </c>
      <c r="C657" s="474">
        <f t="shared" si="75"/>
        <v>4.1864728307932477</v>
      </c>
      <c r="D657" s="474">
        <f t="shared" si="74"/>
        <v>1.0717407142267921E-3</v>
      </c>
    </row>
    <row r="658" spans="1:4" x14ac:dyDescent="0.25">
      <c r="A658" s="515">
        <v>0.1067108338806772</v>
      </c>
      <c r="B658" s="515">
        <v>4.7244507559620784E-3</v>
      </c>
      <c r="C658" s="474">
        <f t="shared" si="75"/>
        <v>4.2012139323101261</v>
      </c>
      <c r="D658" s="474">
        <f t="shared" si="74"/>
        <v>1.0620987780718667E-3</v>
      </c>
    </row>
    <row r="659" spans="1:4" x14ac:dyDescent="0.25">
      <c r="A659" s="515">
        <v>0.10708525785920589</v>
      </c>
      <c r="B659" s="515">
        <v>4.6799883013325782E-3</v>
      </c>
      <c r="C659" s="474">
        <f t="shared" si="75"/>
        <v>4.2159550338270035</v>
      </c>
      <c r="D659" s="474">
        <f t="shared" si="74"/>
        <v>1.052103220668189E-3</v>
      </c>
    </row>
    <row r="660" spans="1:4" x14ac:dyDescent="0.25">
      <c r="A660" s="515">
        <v>0.10745968183773458</v>
      </c>
      <c r="B660" s="515">
        <v>4.6337854620486733E-3</v>
      </c>
      <c r="C660" s="474">
        <f t="shared" si="75"/>
        <v>4.230696135343881</v>
      </c>
      <c r="D660" s="474">
        <f t="shared" si="74"/>
        <v>1.0417164092309105E-3</v>
      </c>
    </row>
    <row r="661" spans="1:4" x14ac:dyDescent="0.25">
      <c r="A661" s="515">
        <v>0.10783410581626326</v>
      </c>
      <c r="B661" s="515">
        <v>4.5856420893700869E-3</v>
      </c>
      <c r="C661" s="474">
        <f t="shared" si="75"/>
        <v>4.2454372368607585</v>
      </c>
      <c r="D661" s="474">
        <f t="shared" si="74"/>
        <v>1.0308933485333981E-3</v>
      </c>
    </row>
    <row r="662" spans="1:4" x14ac:dyDescent="0.25">
      <c r="A662" s="515">
        <v>0.10820852979479197</v>
      </c>
      <c r="B662" s="515">
        <v>4.5353155154070103E-3</v>
      </c>
      <c r="C662" s="474">
        <f t="shared" si="75"/>
        <v>4.2601783383776368</v>
      </c>
      <c r="D662" s="474">
        <f t="shared" si="74"/>
        <v>1.0195794846639796E-3</v>
      </c>
    </row>
    <row r="663" spans="1:4" x14ac:dyDescent="0.25">
      <c r="A663" s="515">
        <v>0.10858295377332065</v>
      </c>
      <c r="B663" s="515">
        <v>4.4825066786555161E-3</v>
      </c>
      <c r="C663" s="474">
        <f t="shared" si="75"/>
        <v>4.2749194398945143</v>
      </c>
      <c r="D663" s="474">
        <f t="shared" si="74"/>
        <v>1.0077075859222311E-3</v>
      </c>
    </row>
    <row r="664" spans="1:4" x14ac:dyDescent="0.25">
      <c r="A664" s="515">
        <v>0.10895737775184934</v>
      </c>
      <c r="B664" s="515">
        <v>4.4268398146682705E-3</v>
      </c>
      <c r="C664" s="474">
        <f t="shared" si="75"/>
        <v>4.2896605414113909</v>
      </c>
      <c r="D664" s="474">
        <f t="shared" si="74"/>
        <v>9.9519317710014001E-4</v>
      </c>
    </row>
    <row r="665" spans="1:4" x14ac:dyDescent="0.25">
      <c r="A665" s="515">
        <v>0.10933180173037804</v>
      </c>
      <c r="B665" s="515">
        <v>4.3678316362431302E-3</v>
      </c>
      <c r="C665" s="474">
        <f t="shared" si="75"/>
        <v>4.3044016429282692</v>
      </c>
      <c r="D665" s="474">
        <f t="shared" si="74"/>
        <v>9.819276109128965E-4</v>
      </c>
    </row>
    <row r="666" spans="1:4" x14ac:dyDescent="0.25">
      <c r="A666" s="515">
        <v>0.10970622570890673</v>
      </c>
      <c r="B666" s="515">
        <v>4.3048424715221812E-3</v>
      </c>
      <c r="C666" s="474">
        <f t="shared" si="75"/>
        <v>4.3191427444451467</v>
      </c>
      <c r="D666" s="474">
        <f t="shared" si="74"/>
        <v>9.6776708340661193E-4</v>
      </c>
    </row>
    <row r="667" spans="1:4" x14ac:dyDescent="0.25">
      <c r="A667" s="515">
        <v>0.11008064968743542</v>
      </c>
      <c r="B667" s="515">
        <v>4.2369944721816055E-3</v>
      </c>
      <c r="C667" s="474">
        <f t="shared" si="75"/>
        <v>4.3338838459620241</v>
      </c>
      <c r="D667" s="474">
        <f t="shared" si="74"/>
        <v>9.5251424642798371E-4</v>
      </c>
    </row>
    <row r="668" spans="1:4" x14ac:dyDescent="0.25">
      <c r="A668" s="515">
        <v>0.11045507366596412</v>
      </c>
      <c r="B668" s="515">
        <v>4.1630248523618213E-3</v>
      </c>
      <c r="C668" s="474">
        <f t="shared" si="75"/>
        <v>4.3486249474789025</v>
      </c>
      <c r="D668" s="474">
        <f t="shared" si="74"/>
        <v>9.3588521442338726E-4</v>
      </c>
    </row>
    <row r="669" spans="1:4" x14ac:dyDescent="0.25">
      <c r="A669" s="515">
        <v>0.11082949764449281</v>
      </c>
      <c r="B669" s="515">
        <v>4.0809970960474194E-3</v>
      </c>
      <c r="C669" s="474">
        <f t="shared" si="75"/>
        <v>4.3633660489957791</v>
      </c>
      <c r="D669" s="474">
        <f t="shared" si="74"/>
        <v>9.174446412753745E-4</v>
      </c>
    </row>
    <row r="670" spans="1:4" x14ac:dyDescent="0.25">
      <c r="A670" s="515">
        <v>0.11120392162302149</v>
      </c>
      <c r="B670" s="515">
        <v>3.9876540465973121E-3</v>
      </c>
      <c r="C670" s="474">
        <f t="shared" si="75"/>
        <v>4.3781071505126574</v>
      </c>
      <c r="D670" s="474">
        <f t="shared" si="74"/>
        <v>8.9646028904409125E-4</v>
      </c>
    </row>
    <row r="671" spans="1:4" x14ac:dyDescent="0.25">
      <c r="A671" s="515">
        <v>0.11157834560155019</v>
      </c>
      <c r="B671" s="515">
        <v>3.8766501688693366E-3</v>
      </c>
      <c r="C671" s="474">
        <f t="shared" si="75"/>
        <v>4.3928482520295349</v>
      </c>
      <c r="D671" s="474">
        <f t="shared" si="74"/>
        <v>8.7150562468499293E-4</v>
      </c>
    </row>
    <row r="672" spans="1:4" x14ac:dyDescent="0.25">
      <c r="A672" s="515">
        <v>0.11195276958007888</v>
      </c>
      <c r="B672" s="515">
        <v>3.7316178840652737E-3</v>
      </c>
      <c r="C672" s="474">
        <f t="shared" si="75"/>
        <v>4.4075893535464123</v>
      </c>
      <c r="D672" s="474">
        <f t="shared" si="74"/>
        <v>8.3890107011809956E-4</v>
      </c>
    </row>
    <row r="673" spans="1:4" x14ac:dyDescent="0.25">
      <c r="A673" s="515">
        <v>0.11232719355860757</v>
      </c>
      <c r="B673" s="515">
        <v>3.3804778974235285E-3</v>
      </c>
      <c r="C673" s="474">
        <f t="shared" si="75"/>
        <v>4.4223304550632898</v>
      </c>
      <c r="D673" s="474">
        <f t="shared" si="74"/>
        <v>7.5996166107171969E-4</v>
      </c>
    </row>
  </sheetData>
  <mergeCells count="8">
    <mergeCell ref="A262:A301"/>
    <mergeCell ref="B307:G307"/>
    <mergeCell ref="B309:G309"/>
    <mergeCell ref="AT3:AU3"/>
    <mergeCell ref="K43:M43"/>
    <mergeCell ref="N43:P43"/>
    <mergeCell ref="K59:M59"/>
    <mergeCell ref="N59:P59"/>
  </mergeCells>
  <conditionalFormatting sqref="L318:L339">
    <cfRule type="dataBar" priority="2">
      <dataBar>
        <cfvo type="min"/>
        <cfvo type="max"/>
        <color rgb="FF63C384"/>
      </dataBar>
    </cfRule>
  </conditionalFormatting>
  <conditionalFormatting sqref="N326:O326">
    <cfRule type="dataBar" priority="1">
      <dataBar>
        <cfvo type="min"/>
        <cfvo type="max"/>
        <color rgb="FF63C384"/>
      </dataBar>
    </cfRule>
  </conditionalFormatting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X673"/>
  <sheetViews>
    <sheetView topLeftCell="A366" zoomScaleNormal="100" workbookViewId="0">
      <selection activeCell="A370" sqref="A370"/>
    </sheetView>
  </sheetViews>
  <sheetFormatPr defaultRowHeight="15" x14ac:dyDescent="0.25"/>
  <cols>
    <col min="1" max="1" width="33.42578125" bestFit="1" customWidth="1"/>
    <col min="2" max="2" width="15.85546875" bestFit="1" customWidth="1"/>
    <col min="3" max="3" width="17.28515625" bestFit="1" customWidth="1"/>
    <col min="4" max="4" width="25.42578125" bestFit="1" customWidth="1"/>
    <col min="5" max="5" width="8.28515625" bestFit="1" customWidth="1"/>
    <col min="6" max="6" width="12.140625" bestFit="1" customWidth="1"/>
    <col min="7" max="7" width="14.85546875" bestFit="1" customWidth="1"/>
    <col min="8" max="8" width="16" bestFit="1" customWidth="1"/>
    <col min="9" max="9" width="14.28515625" bestFit="1" customWidth="1"/>
    <col min="10" max="10" width="15.42578125" bestFit="1" customWidth="1"/>
    <col min="11" max="11" width="56" bestFit="1" customWidth="1"/>
    <col min="12" max="12" width="31.7109375" bestFit="1" customWidth="1"/>
    <col min="13" max="13" width="13" customWidth="1"/>
    <col min="14" max="14" width="50.140625" customWidth="1"/>
    <col min="15" max="15" width="11" bestFit="1" customWidth="1"/>
    <col min="16" max="16" width="20.140625" bestFit="1" customWidth="1"/>
    <col min="17" max="17" width="18.42578125" customWidth="1"/>
    <col min="18" max="18" width="26.42578125" customWidth="1"/>
    <col min="19" max="20" width="17.28515625" bestFit="1" customWidth="1"/>
    <col min="21" max="21" width="26" bestFit="1" customWidth="1"/>
    <col min="22" max="22" width="12.28515625" bestFit="1" customWidth="1"/>
    <col min="23" max="23" width="44.5703125" bestFit="1" customWidth="1"/>
    <col min="24" max="24" width="10.7109375" bestFit="1" customWidth="1"/>
    <col min="25" max="25" width="19.140625" bestFit="1" customWidth="1"/>
    <col min="26" max="26" width="7.42578125" bestFit="1" customWidth="1"/>
    <col min="27" max="27" width="4.85546875" bestFit="1" customWidth="1"/>
    <col min="28" max="28" width="14.85546875" bestFit="1" customWidth="1"/>
    <col min="29" max="32" width="10" bestFit="1" customWidth="1"/>
    <col min="33" max="33" width="11.5703125" bestFit="1" customWidth="1"/>
    <col min="34" max="34" width="11" bestFit="1" customWidth="1"/>
    <col min="36" max="36" width="14.85546875" bestFit="1" customWidth="1"/>
    <col min="37" max="37" width="15.85546875" bestFit="1" customWidth="1"/>
    <col min="39" max="39" width="14.85546875" bestFit="1" customWidth="1"/>
    <col min="40" max="40" width="15.85546875" bestFit="1" customWidth="1"/>
    <col min="44" max="45" width="10.140625" bestFit="1" customWidth="1"/>
    <col min="48" max="49" width="14.85546875" bestFit="1" customWidth="1"/>
  </cols>
  <sheetData>
    <row r="1" spans="1:50" x14ac:dyDescent="0.25">
      <c r="A1" t="str">
        <f>IF('External layout'!A24="","",'External layout'!A24)</f>
        <v>HSTAB</v>
      </c>
      <c r="B1" s="341" t="str">
        <f>IF('External layout'!B24="","",'External layout'!B24)</f>
        <v/>
      </c>
      <c r="C1" s="341"/>
      <c r="F1" t="str">
        <f>IF('External layout'!A1="","",'External layout'!A1)</f>
        <v>FUSELAGE</v>
      </c>
      <c r="G1" s="341" t="str">
        <f>IF('External layout'!B1="","",'External layout'!B1)</f>
        <v/>
      </c>
      <c r="H1" s="341"/>
      <c r="U1" t="s">
        <v>2167</v>
      </c>
      <c r="Y1" s="7" t="str">
        <f>IF(Wing!S1="","",Wing!S1)</f>
        <v>Conversion factors</v>
      </c>
      <c r="Z1" s="7" t="str">
        <f>IF(Wing!T1="","",Wing!T1)</f>
        <v/>
      </c>
      <c r="AA1" s="7" t="str">
        <f>IF(Wing!U1="","",Wing!U1)</f>
        <v/>
      </c>
      <c r="AB1" s="7" t="str">
        <f>IF(Wing!V1="","",Wing!V1)</f>
        <v/>
      </c>
      <c r="AC1" s="7" t="str">
        <f>IF(Wing!W1="","",Wing!W1)</f>
        <v/>
      </c>
      <c r="AD1" s="341"/>
      <c r="AG1" s="1" t="s">
        <v>2286</v>
      </c>
      <c r="AJ1" t="s">
        <v>1847</v>
      </c>
      <c r="AK1" t="s">
        <v>1847</v>
      </c>
    </row>
    <row r="2" spans="1:50" x14ac:dyDescent="0.25">
      <c r="A2" s="341" t="str">
        <f>IF('External layout'!A25="","",'External layout'!A25)</f>
        <v xml:space="preserve">x_LE: </v>
      </c>
      <c r="B2" s="341">
        <f>IF('External layout'!B25="","",'External layout'!B25)</f>
        <v>1.2128210156327217</v>
      </c>
      <c r="C2" s="341"/>
      <c r="F2" s="341" t="str">
        <f>IF('External layout'!A2="","",'External layout'!A2)</f>
        <v xml:space="preserve">Height: </v>
      </c>
      <c r="G2" s="341">
        <f>IF('External layout'!B2="","",'External layout'!B2)</f>
        <v>0.15240000000000001</v>
      </c>
      <c r="H2" s="341"/>
      <c r="N2" t="s">
        <v>2316</v>
      </c>
      <c r="U2">
        <v>0.3</v>
      </c>
      <c r="V2" t="s">
        <v>2168</v>
      </c>
      <c r="Y2" s="7" t="str">
        <f>IF(Wing!S2="","",Wing!S2)</f>
        <v>cm</v>
      </c>
      <c r="Z2" s="7">
        <f>IF(Wing!T2="","",Wing!T2)</f>
        <v>2.54</v>
      </c>
      <c r="AA2" s="7" t="str">
        <f>IF(Wing!U2="","",Wing!U2)</f>
        <v>=</v>
      </c>
      <c r="AB2" s="7">
        <f>IF(Wing!V2="","",Wing!V2)</f>
        <v>1</v>
      </c>
      <c r="AC2" s="7" t="str">
        <f>IF(Wing!W2="","",Wing!W2)</f>
        <v>in</v>
      </c>
      <c r="AD2" s="341"/>
      <c r="AG2" s="1">
        <v>1</v>
      </c>
      <c r="AH2">
        <v>6.3000000000000003E-4</v>
      </c>
      <c r="AJ2" s="467"/>
      <c r="AK2" s="468"/>
      <c r="AM2" t="s">
        <v>701</v>
      </c>
      <c r="AN2" t="s">
        <v>701</v>
      </c>
      <c r="AQ2" t="s">
        <v>2328</v>
      </c>
    </row>
    <row r="3" spans="1:50" x14ac:dyDescent="0.25">
      <c r="A3" s="341" t="str">
        <f>IF('External layout'!A26="","",'External layout'!A26)</f>
        <v xml:space="preserve">x_AC: </v>
      </c>
      <c r="B3" s="341">
        <f>IF('External layout'!B26="","",'External layout'!B26)</f>
        <v>1.248702621421125</v>
      </c>
      <c r="C3" s="341"/>
      <c r="F3" s="341" t="str">
        <f>IF('External layout'!A3="","",'External layout'!A3)</f>
        <v xml:space="preserve">Width: </v>
      </c>
      <c r="G3" s="341">
        <f>IF('External layout'!B3="","",'External layout'!B3)</f>
        <v>0.12</v>
      </c>
      <c r="H3" s="341"/>
      <c r="N3" t="s">
        <v>2314</v>
      </c>
      <c r="U3">
        <f>U2/AB8</f>
        <v>1.334466488476385</v>
      </c>
      <c r="V3" t="s">
        <v>2069</v>
      </c>
      <c r="Y3" s="7" t="str">
        <f>IF(Wing!S3="","",Wing!S3)</f>
        <v/>
      </c>
      <c r="Z3" s="7" t="str">
        <f>IF(Wing!T3="","",Wing!T3)</f>
        <v/>
      </c>
      <c r="AA3" s="7" t="str">
        <f>IF(Wing!U3="","",Wing!U3)</f>
        <v/>
      </c>
      <c r="AB3" s="7" t="str">
        <f>IF(Wing!V3="","",Wing!V3)</f>
        <v/>
      </c>
      <c r="AC3" s="7" t="str">
        <f>IF(Wing!W3="","",Wing!W3)</f>
        <v/>
      </c>
      <c r="AD3" s="341"/>
      <c r="AG3" s="1">
        <v>0.95</v>
      </c>
      <c r="AH3">
        <v>4.0299999999999997E-3</v>
      </c>
      <c r="AJ3" s="469">
        <f t="shared" ref="AJ3:AJ20" si="0">AG2*100*$B$5</f>
        <v>14.352642315361319</v>
      </c>
      <c r="AK3" s="470">
        <v>0</v>
      </c>
      <c r="AM3" s="467" t="s">
        <v>2287</v>
      </c>
      <c r="AN3" s="468" t="s">
        <v>2288</v>
      </c>
      <c r="AQ3" t="s">
        <v>2292</v>
      </c>
      <c r="AT3" s="521" t="s">
        <v>2298</v>
      </c>
      <c r="AU3" s="521"/>
    </row>
    <row r="4" spans="1:50" x14ac:dyDescent="0.25">
      <c r="A4" s="341" t="str">
        <f>IF('External layout'!A27="","",'External layout'!A27)</f>
        <v xml:space="preserve">z_AC: </v>
      </c>
      <c r="B4" s="341">
        <f>IF('External layout'!B27="","",'External layout'!B27)</f>
        <v>2.3800000000000002E-2</v>
      </c>
      <c r="C4" s="341"/>
      <c r="F4" s="341" t="str">
        <f>IF('External layout'!A4="","",'External layout'!A4)</f>
        <v xml:space="preserve">L_nose: </v>
      </c>
      <c r="G4" s="341">
        <f>IF('External layout'!B4="","",'External layout'!B4)</f>
        <v>0.223389068442015</v>
      </c>
      <c r="H4" s="341"/>
      <c r="N4" t="s">
        <v>2315</v>
      </c>
      <c r="Y4" s="7" t="str">
        <f>IF(Wing!S4="","",Wing!S4)</f>
        <v>cm</v>
      </c>
      <c r="Z4" s="7">
        <f>IF(Wing!T4="","",Wing!T4)</f>
        <v>30.48</v>
      </c>
      <c r="AA4" s="7" t="str">
        <f>IF(Wing!U4="","",Wing!U4)</f>
        <v>=</v>
      </c>
      <c r="AB4" s="7">
        <f>IF(Wing!V4="","",Wing!V4)</f>
        <v>1</v>
      </c>
      <c r="AC4" s="7" t="str">
        <f>IF(Wing!W4="","",Wing!W4)</f>
        <v>ft</v>
      </c>
      <c r="AD4" s="341"/>
      <c r="AG4" s="1">
        <v>0.9</v>
      </c>
      <c r="AH4">
        <v>7.2399999999999999E-3</v>
      </c>
      <c r="AJ4" s="471">
        <f t="shared" si="0"/>
        <v>13.635010199593253</v>
      </c>
      <c r="AK4" s="472">
        <f t="shared" ref="AK4:AK20" si="1">AH3*100*$B$5</f>
        <v>5.7841148530906113E-2</v>
      </c>
      <c r="AM4" s="469">
        <f>Horizontal!$AJ3/$Z$2</f>
        <v>5.6506465808509132</v>
      </c>
      <c r="AN4" s="470">
        <f>Horizontal!$AK3/$Z$2</f>
        <v>0</v>
      </c>
      <c r="AQ4" t="s">
        <v>2293</v>
      </c>
      <c r="AR4" t="s">
        <v>2294</v>
      </c>
      <c r="AS4" t="s">
        <v>2295</v>
      </c>
      <c r="AT4" t="s">
        <v>2296</v>
      </c>
      <c r="AU4" t="s">
        <v>2297</v>
      </c>
      <c r="AV4" t="s">
        <v>2299</v>
      </c>
      <c r="AW4" t="s">
        <v>2196</v>
      </c>
      <c r="AX4" t="s">
        <v>2300</v>
      </c>
    </row>
    <row r="5" spans="1:50" x14ac:dyDescent="0.25">
      <c r="A5" s="341" t="str">
        <f>IF('External layout'!A28="","",'External layout'!A28)</f>
        <v xml:space="preserve">Chord root: </v>
      </c>
      <c r="B5" s="341">
        <f>IF('External layout'!B28="","",'External layout'!B28)</f>
        <v>0.14352642315361319</v>
      </c>
      <c r="C5" s="341"/>
      <c r="F5" s="341" t="str">
        <f>IF('External layout'!A5="","",'External layout'!A5)</f>
        <v xml:space="preserve">L_body: </v>
      </c>
      <c r="G5" s="341">
        <f>IF('External layout'!B5="","",'External layout'!B5)</f>
        <v>0.72</v>
      </c>
      <c r="H5" s="341"/>
      <c r="U5" t="s">
        <v>1837</v>
      </c>
      <c r="V5" t="s">
        <v>1838</v>
      </c>
      <c r="W5" t="s">
        <v>1864</v>
      </c>
      <c r="Y5" s="7" t="str">
        <f>IF(Wing!S5="","",Wing!S5)</f>
        <v/>
      </c>
      <c r="Z5" s="7" t="str">
        <f>IF(Wing!T5="","",Wing!T5)</f>
        <v/>
      </c>
      <c r="AA5" s="7" t="str">
        <f>IF(Wing!U5="","",Wing!U5)</f>
        <v/>
      </c>
      <c r="AB5" s="7" t="str">
        <f>IF(Wing!V5="","",Wing!V5)</f>
        <v/>
      </c>
      <c r="AC5" s="7" t="str">
        <f>IF(Wing!W5="","",Wing!W5)</f>
        <v/>
      </c>
      <c r="AD5" s="341"/>
      <c r="AG5" s="1">
        <v>0.8</v>
      </c>
      <c r="AH5">
        <v>1.312E-2</v>
      </c>
      <c r="AJ5" s="469">
        <f t="shared" si="0"/>
        <v>12.917378083825188</v>
      </c>
      <c r="AK5" s="470">
        <f t="shared" si="1"/>
        <v>0.10391313036321595</v>
      </c>
      <c r="AM5" s="471">
        <f>Horizontal!$AJ4/$Z$2</f>
        <v>5.3681142518083673</v>
      </c>
      <c r="AN5" s="472">
        <f>Horizontal!$AK4/$Z$2</f>
        <v>2.2772105720829178E-2</v>
      </c>
      <c r="AQ5">
        <v>1</v>
      </c>
      <c r="AR5">
        <f>ABS(Horizontal!$AM5-AM4)</f>
        <v>0.28253232904254588</v>
      </c>
      <c r="AS5">
        <f>AN5-AN27</f>
        <v>4.5544211441658357E-2</v>
      </c>
      <c r="AT5">
        <f>AM4-AR5/2</f>
        <v>5.5093804163296403</v>
      </c>
      <c r="AU5">
        <f>(AN5+AN27)/2</f>
        <v>0</v>
      </c>
      <c r="AV5">
        <f>AR5*(AS5^3)/12</f>
        <v>2.2242646753967014E-6</v>
      </c>
      <c r="AW5">
        <f>(AR5^3)*(AS5)/12</f>
        <v>8.5596575443660182E-5</v>
      </c>
      <c r="AX5">
        <v>0</v>
      </c>
    </row>
    <row r="6" spans="1:50" x14ac:dyDescent="0.25">
      <c r="A6" s="341" t="str">
        <f>IF('External layout'!A29="","",'External layout'!A29)</f>
        <v xml:space="preserve">Span: </v>
      </c>
      <c r="B6" s="341">
        <f>IF('External layout'!B29="","",'External layout'!B29)</f>
        <v>0.66978997471686152</v>
      </c>
      <c r="C6" s="341"/>
      <c r="F6" s="341" t="str">
        <f>IF('External layout'!A6="","",'External layout'!A6)</f>
        <v xml:space="preserve">L_rear: </v>
      </c>
      <c r="G6" s="341">
        <f>IF('External layout'!B6="","",'External layout'!B6)</f>
        <v>0.55579956885405424</v>
      </c>
      <c r="H6" s="341"/>
      <c r="U6">
        <f>D6*0.25</f>
        <v>0</v>
      </c>
      <c r="V6">
        <f>B12</f>
        <v>14.352642315361319</v>
      </c>
      <c r="W6">
        <f>B11/2</f>
        <v>0.4307227958839932</v>
      </c>
      <c r="Y6" s="7" t="str">
        <f>IF(Wing!S6="","",Wing!S6)</f>
        <v>kg</v>
      </c>
      <c r="Z6" s="7">
        <f>IF(Wing!T6="","",Wing!T6)</f>
        <v>1</v>
      </c>
      <c r="AA6" s="7" t="str">
        <f>IF(Wing!U6="","",Wing!U6)</f>
        <v>=</v>
      </c>
      <c r="AB6" s="7">
        <f>IF(Wing!V6="","",Wing!V6)</f>
        <v>2.2046199999999998</v>
      </c>
      <c r="AC6" s="7" t="str">
        <f>IF(Wing!W6="","",Wing!W6)</f>
        <v>lbs</v>
      </c>
      <c r="AD6" s="341"/>
      <c r="AG6" s="1">
        <v>0.7</v>
      </c>
      <c r="AH6">
        <v>1.8319999999999999E-2</v>
      </c>
      <c r="AJ6" s="471">
        <f t="shared" si="0"/>
        <v>11.482113852289055</v>
      </c>
      <c r="AK6" s="472">
        <f t="shared" si="1"/>
        <v>0.18830666717754052</v>
      </c>
      <c r="AM6" s="469">
        <f>Horizontal!$AJ5/$Z$2</f>
        <v>5.0855819227658223</v>
      </c>
      <c r="AN6" s="470">
        <f>Horizontal!$AK5/$Z$2</f>
        <v>4.0910681245360611E-2</v>
      </c>
      <c r="AQ6" s="474">
        <v>2</v>
      </c>
      <c r="AR6" s="474">
        <f>ABS(Horizontal!$AM6-AM5)</f>
        <v>0.28253232904254499</v>
      </c>
      <c r="AS6" s="474">
        <f t="shared" ref="AS6:AS19" si="2">AN6-AN28</f>
        <v>8.1821362490721222E-2</v>
      </c>
      <c r="AT6" s="474">
        <f t="shared" ref="AT6:AT21" si="3">AM5-AR6/2</f>
        <v>5.2268480872870953</v>
      </c>
      <c r="AU6" s="474">
        <f t="shared" ref="AU6:AU21" si="4">(AN6+AN28)/2</f>
        <v>0</v>
      </c>
      <c r="AV6" s="474">
        <f t="shared" ref="AV6:AV21" si="5">AR6*(AS6^3)/12</f>
        <v>1.2896950258478691E-5</v>
      </c>
      <c r="AW6" s="474">
        <f t="shared" ref="AW6:AW21" si="6">(AR6^3)*(AS6)/12</f>
        <v>1.5377647796826151E-4</v>
      </c>
      <c r="AX6" s="474">
        <v>0</v>
      </c>
    </row>
    <row r="7" spans="1:50" x14ac:dyDescent="0.25">
      <c r="A7" s="341" t="str">
        <f>IF('External layout'!A30="","",'External layout'!A30)</f>
        <v xml:space="preserve">Airfoil: </v>
      </c>
      <c r="B7" s="341" t="str">
        <f>IF('External layout'!B30="","",'External layout'!B30)</f>
        <v>NACA0006</v>
      </c>
      <c r="C7" s="341"/>
      <c r="F7" s="341" t="str">
        <f>IF('External layout'!A7="","",'External layout'!A7)</f>
        <v xml:space="preserve">L_total: </v>
      </c>
      <c r="G7" s="341">
        <f>IF('External layout'!B7="","",'External layout'!B7)</f>
        <v>1.4991886372960692</v>
      </c>
      <c r="H7" s="341"/>
      <c r="Y7" s="7" t="str">
        <f>IF(Wing!S7="","",Wing!S7)</f>
        <v/>
      </c>
      <c r="Z7" s="7" t="str">
        <f>IF(Wing!T7="","",Wing!T7)</f>
        <v/>
      </c>
      <c r="AA7" s="7" t="str">
        <f>IF(Wing!U7="","",Wing!U7)</f>
        <v/>
      </c>
      <c r="AB7" s="7" t="str">
        <f>IF(Wing!V7="","",Wing!V7)</f>
        <v/>
      </c>
      <c r="AC7" s="7" t="str">
        <f>IF(Wing!W7="","",Wing!W7)</f>
        <v/>
      </c>
      <c r="AD7" s="341"/>
      <c r="AG7" s="1">
        <v>0.6</v>
      </c>
      <c r="AH7">
        <v>2.282E-2</v>
      </c>
      <c r="AJ7" s="469">
        <f t="shared" si="0"/>
        <v>10.046849620752923</v>
      </c>
      <c r="AK7" s="470">
        <f t="shared" si="1"/>
        <v>0.26294040721741935</v>
      </c>
      <c r="AM7" s="471">
        <f>Horizontal!$AJ6/$Z$2</f>
        <v>4.5205172646807306</v>
      </c>
      <c r="AN7" s="472">
        <f>Horizontal!$AK6/$Z$2</f>
        <v>7.4136483140763987E-2</v>
      </c>
      <c r="AQ7" s="474">
        <v>3</v>
      </c>
      <c r="AR7" s="474">
        <f>ABS(Horizontal!$AM7-AM6)</f>
        <v>0.56506465808509176</v>
      </c>
      <c r="AS7" s="474">
        <f t="shared" si="2"/>
        <v>0.14827296628152797</v>
      </c>
      <c r="AT7" s="474">
        <f t="shared" si="3"/>
        <v>4.8030495937232764</v>
      </c>
      <c r="AU7" s="474">
        <f t="shared" si="4"/>
        <v>0</v>
      </c>
      <c r="AV7" s="474">
        <f t="shared" si="5"/>
        <v>1.5349803739741143E-4</v>
      </c>
      <c r="AW7" s="474">
        <f t="shared" si="6"/>
        <v>2.2293341336393486E-3</v>
      </c>
      <c r="AX7" s="474">
        <v>0</v>
      </c>
    </row>
    <row r="8" spans="1:50" x14ac:dyDescent="0.25">
      <c r="A8" s="341" t="str">
        <f>IF('External layout'!A31="","",'External layout'!A31)</f>
        <v xml:space="preserve">Incidence: </v>
      </c>
      <c r="B8" s="341">
        <f>IF('External layout'!B31="","",'External layout'!B31)</f>
        <v>-0.58393031865523626</v>
      </c>
      <c r="C8" s="341"/>
      <c r="F8" s="341" t="str">
        <f>IF('External layout'!A8="","",'External layout'!A8)</f>
        <v xml:space="preserve">Angle: </v>
      </c>
      <c r="G8" s="341">
        <f>IF('External layout'!B8="","",'External layout'!B8)</f>
        <v>15</v>
      </c>
      <c r="H8" s="341"/>
      <c r="Y8" s="7" t="str">
        <f>IF(Wing!S8="","",Wing!S8)</f>
        <v>N</v>
      </c>
      <c r="Z8" s="7">
        <f>IF(Wing!T8="","",Wing!T8)</f>
        <v>1</v>
      </c>
      <c r="AA8" s="7" t="str">
        <f>IF(Wing!U8="","",Wing!U8)</f>
        <v>=</v>
      </c>
      <c r="AB8" s="7">
        <f>IF(Wing!V8="","",Wing!V8)</f>
        <v>0.22480894244300001</v>
      </c>
      <c r="AC8" s="7" t="str">
        <f>IF(Wing!W8="","",Wing!W8)</f>
        <v>lbs</v>
      </c>
      <c r="AD8" s="341"/>
      <c r="AG8" s="1">
        <v>0.5</v>
      </c>
      <c r="AH8">
        <v>2.647E-2</v>
      </c>
      <c r="AJ8" s="471">
        <f t="shared" si="0"/>
        <v>8.611585389216792</v>
      </c>
      <c r="AK8" s="472">
        <f t="shared" si="1"/>
        <v>0.32752729763654531</v>
      </c>
      <c r="AM8" s="469">
        <f>Horizontal!$AJ7/$Z$2</f>
        <v>3.9554526065956388</v>
      </c>
      <c r="AN8" s="470">
        <f>Horizontal!$AK7/$Z$2</f>
        <v>0.10351984536118872</v>
      </c>
      <c r="AQ8" s="474">
        <v>4</v>
      </c>
      <c r="AR8" s="474">
        <f>ABS(Horizontal!$AM8-AM7)</f>
        <v>0.56506465808509176</v>
      </c>
      <c r="AS8" s="474">
        <f t="shared" si="2"/>
        <v>0.20703969072237743</v>
      </c>
      <c r="AT8" s="474">
        <f t="shared" si="3"/>
        <v>4.2379849356381847</v>
      </c>
      <c r="AU8" s="474">
        <f t="shared" si="4"/>
        <v>0</v>
      </c>
      <c r="AV8" s="474">
        <f t="shared" si="5"/>
        <v>4.179051564987225E-4</v>
      </c>
      <c r="AW8" s="474">
        <f t="shared" si="6"/>
        <v>3.1129116866061633E-3</v>
      </c>
      <c r="AX8" s="474">
        <v>0</v>
      </c>
    </row>
    <row r="9" spans="1:50" x14ac:dyDescent="0.25">
      <c r="A9" s="341" t="str">
        <f>IF('External layout'!A32="","",'External layout'!A32)</f>
        <v xml:space="preserve">Elevator_span_start: </v>
      </c>
      <c r="B9" s="341">
        <f>IF('External layout'!B32="","",'External layout'!B32)</f>
        <v>0</v>
      </c>
      <c r="C9" s="341"/>
      <c r="F9" s="341" t="str">
        <f>IF('External layout'!A9="","",'External layout'!A9)</f>
        <v/>
      </c>
      <c r="G9" s="341" t="str">
        <f>IF('External layout'!B9="","",'External layout'!B9)</f>
        <v/>
      </c>
      <c r="H9" s="341"/>
      <c r="Y9" s="341"/>
      <c r="Z9" s="341"/>
      <c r="AA9" s="341"/>
      <c r="AB9" s="341"/>
      <c r="AC9" s="341"/>
      <c r="AD9" s="341"/>
      <c r="AG9" s="1">
        <v>0.4</v>
      </c>
      <c r="AH9">
        <v>2.9020000000000001E-2</v>
      </c>
      <c r="AJ9" s="469">
        <f t="shared" si="0"/>
        <v>7.1763211576806594</v>
      </c>
      <c r="AK9" s="470">
        <f t="shared" si="1"/>
        <v>0.37991444208761416</v>
      </c>
      <c r="AM9" s="471">
        <f>Horizontal!$AJ8/$Z$2</f>
        <v>3.3903879485105479</v>
      </c>
      <c r="AN9" s="472">
        <f>Horizontal!$AK8/$Z$2</f>
        <v>0.12894775497501784</v>
      </c>
      <c r="AQ9" s="474">
        <v>5</v>
      </c>
      <c r="AR9" s="474">
        <f>ABS(Horizontal!$AM9-AM8)</f>
        <v>0.56506465808509088</v>
      </c>
      <c r="AS9" s="474">
        <f t="shared" si="2"/>
        <v>0.25789550995003568</v>
      </c>
      <c r="AT9" s="474">
        <f t="shared" si="3"/>
        <v>3.6729202775530934</v>
      </c>
      <c r="AU9" s="474">
        <f t="shared" si="4"/>
        <v>0</v>
      </c>
      <c r="AV9" s="474">
        <f t="shared" si="5"/>
        <v>8.0769657662460223E-4</v>
      </c>
      <c r="AW9" s="474">
        <f t="shared" si="6"/>
        <v>3.8775461074428124E-3</v>
      </c>
      <c r="AX9" s="474">
        <v>0</v>
      </c>
    </row>
    <row r="10" spans="1:50" x14ac:dyDescent="0.25">
      <c r="K10" s="337" t="s">
        <v>2193</v>
      </c>
      <c r="Y10" s="341"/>
      <c r="Z10" s="341"/>
      <c r="AA10" s="341"/>
      <c r="AB10" s="341"/>
      <c r="AC10" s="341"/>
      <c r="AD10" s="341"/>
      <c r="AG10" s="1">
        <v>0.3</v>
      </c>
      <c r="AH10">
        <v>3.0009999999999998E-2</v>
      </c>
      <c r="AJ10" s="471">
        <f t="shared" si="0"/>
        <v>5.7410569261445277</v>
      </c>
      <c r="AK10" s="472">
        <f t="shared" si="1"/>
        <v>0.41651367999178551</v>
      </c>
      <c r="AM10" s="469">
        <f>Horizontal!$AJ9/$Z$2</f>
        <v>2.8253232904254566</v>
      </c>
      <c r="AN10" s="470">
        <f>Horizontal!$AK9/$Z$2</f>
        <v>0.14957261499512367</v>
      </c>
      <c r="AQ10" s="474">
        <v>6</v>
      </c>
      <c r="AR10" s="474">
        <f>ABS(Horizontal!$AM10-AM9)</f>
        <v>0.56506465808509132</v>
      </c>
      <c r="AS10" s="474">
        <f t="shared" si="2"/>
        <v>0.29914522999024734</v>
      </c>
      <c r="AT10" s="474">
        <f t="shared" si="3"/>
        <v>3.107855619468002</v>
      </c>
      <c r="AU10" s="474">
        <f t="shared" si="4"/>
        <v>0</v>
      </c>
      <c r="AV10" s="474">
        <f t="shared" si="5"/>
        <v>1.2605589080735356E-3</v>
      </c>
      <c r="AW10" s="474">
        <f t="shared" si="6"/>
        <v>4.4977495821214497E-3</v>
      </c>
      <c r="AX10" s="474">
        <v>0</v>
      </c>
    </row>
    <row r="11" spans="1:50" x14ac:dyDescent="0.25">
      <c r="A11" t="s">
        <v>2163</v>
      </c>
      <c r="B11">
        <f>MAX(AS5:AS21)*Z2</f>
        <v>0.86144559176798641</v>
      </c>
      <c r="C11" t="s">
        <v>1847</v>
      </c>
      <c r="K11" s="337">
        <v>1</v>
      </c>
      <c r="L11">
        <v>1.4503773772999999</v>
      </c>
      <c r="Y11" s="341"/>
      <c r="Z11" s="341"/>
      <c r="AA11" s="341"/>
      <c r="AB11" s="341"/>
      <c r="AC11" s="341"/>
      <c r="AD11" s="341"/>
      <c r="AG11" s="1">
        <v>0.25</v>
      </c>
      <c r="AH11">
        <v>2.971E-2</v>
      </c>
      <c r="AJ11" s="469">
        <f t="shared" si="0"/>
        <v>4.305792694608396</v>
      </c>
      <c r="AK11" s="470">
        <f t="shared" si="1"/>
        <v>0.43072279588399315</v>
      </c>
      <c r="AM11" s="471">
        <f>Horizontal!$AJ10/$Z$2</f>
        <v>2.2602586323403653</v>
      </c>
      <c r="AN11" s="472">
        <f>Horizontal!$AK10/$Z$2</f>
        <v>0.1639817637762935</v>
      </c>
      <c r="AQ11" s="474">
        <v>7</v>
      </c>
      <c r="AR11" s="474">
        <f>ABS(Horizontal!$AM11-AM10)</f>
        <v>0.56506465808509132</v>
      </c>
      <c r="AS11" s="474">
        <f t="shared" si="2"/>
        <v>0.32796352755258701</v>
      </c>
      <c r="AT11" s="474">
        <f t="shared" si="3"/>
        <v>2.5427909613829112</v>
      </c>
      <c r="AU11" s="474">
        <f t="shared" si="4"/>
        <v>0</v>
      </c>
      <c r="AV11" s="474">
        <f t="shared" si="5"/>
        <v>1.6610914629382901E-3</v>
      </c>
      <c r="AW11" s="474">
        <f t="shared" si="6"/>
        <v>4.9310424205955593E-3</v>
      </c>
      <c r="AX11" s="474">
        <v>0</v>
      </c>
    </row>
    <row r="12" spans="1:50" x14ac:dyDescent="0.25">
      <c r="A12" t="s">
        <v>2164</v>
      </c>
      <c r="B12">
        <f>B5*100</f>
        <v>14.352642315361319</v>
      </c>
      <c r="C12" t="s">
        <v>1847</v>
      </c>
      <c r="Y12" s="341"/>
      <c r="Z12" s="341"/>
      <c r="AA12" s="341"/>
      <c r="AB12" s="341"/>
      <c r="AC12" s="341"/>
      <c r="AD12" s="341"/>
      <c r="AG12" s="1">
        <v>0.2</v>
      </c>
      <c r="AH12">
        <v>2.869E-2</v>
      </c>
      <c r="AJ12" s="471">
        <f t="shared" si="0"/>
        <v>3.5881605788403297</v>
      </c>
      <c r="AK12" s="472">
        <f t="shared" si="1"/>
        <v>0.4264170031893848</v>
      </c>
      <c r="AM12" s="469">
        <f>Horizontal!$AJ11/$Z$2</f>
        <v>1.695193974255274</v>
      </c>
      <c r="AN12" s="470">
        <f>Horizontal!$AK11/$Z$2</f>
        <v>0.16957590389133589</v>
      </c>
      <c r="AQ12" s="474">
        <v>8</v>
      </c>
      <c r="AR12" s="474">
        <f>ABS(Horizontal!$AM12-AM11)</f>
        <v>0.56506465808509132</v>
      </c>
      <c r="AS12" s="474">
        <f t="shared" si="2"/>
        <v>0.33915180778267179</v>
      </c>
      <c r="AT12" s="474">
        <f t="shared" si="3"/>
        <v>1.9777263032978196</v>
      </c>
      <c r="AU12" s="474">
        <f t="shared" si="4"/>
        <v>0</v>
      </c>
      <c r="AV12" s="474">
        <f t="shared" si="5"/>
        <v>1.8369583443935079E-3</v>
      </c>
      <c r="AW12" s="474">
        <f t="shared" si="6"/>
        <v>5.0992619931796252E-3</v>
      </c>
      <c r="AX12" s="474">
        <v>0</v>
      </c>
    </row>
    <row r="13" spans="1:50" x14ac:dyDescent="0.25">
      <c r="Y13" s="341"/>
      <c r="Z13" s="341"/>
      <c r="AA13" s="341"/>
      <c r="AB13" s="341"/>
      <c r="AC13" s="341"/>
      <c r="AD13" s="341"/>
      <c r="AG13" s="1">
        <v>0.15</v>
      </c>
      <c r="AH13">
        <v>2.673E-2</v>
      </c>
      <c r="AJ13" s="469">
        <f t="shared" si="0"/>
        <v>2.8705284630722638</v>
      </c>
      <c r="AK13" s="470">
        <f t="shared" si="1"/>
        <v>0.41177730802771628</v>
      </c>
      <c r="AM13" s="471">
        <f>Horizontal!$AJ12/$Z$2</f>
        <v>1.4126616452127283</v>
      </c>
      <c r="AN13" s="472">
        <f>Horizontal!$AK12/$Z$2</f>
        <v>0.16788070991708062</v>
      </c>
      <c r="AQ13" s="474">
        <v>9</v>
      </c>
      <c r="AR13" s="474">
        <f>ABS(Horizontal!$AM13-AM12)</f>
        <v>0.28253232904254566</v>
      </c>
      <c r="AS13" s="474">
        <f t="shared" si="2"/>
        <v>0.33576141983416125</v>
      </c>
      <c r="AT13" s="474">
        <f t="shared" si="3"/>
        <v>1.553927809734001</v>
      </c>
      <c r="AU13" s="474">
        <f t="shared" si="4"/>
        <v>0</v>
      </c>
      <c r="AV13" s="474">
        <f t="shared" si="5"/>
        <v>8.9120842134832298E-4</v>
      </c>
      <c r="AW13" s="474">
        <f t="shared" si="6"/>
        <v>6.3103579564048097E-4</v>
      </c>
      <c r="AX13" s="474">
        <v>0</v>
      </c>
    </row>
    <row r="14" spans="1:50" x14ac:dyDescent="0.25">
      <c r="A14" t="s">
        <v>2165</v>
      </c>
      <c r="B14">
        <f>(B12*B11^3)/12</f>
        <v>0.76459979045472559</v>
      </c>
      <c r="C14" t="s">
        <v>2195</v>
      </c>
      <c r="D14" t="s">
        <v>2196</v>
      </c>
      <c r="E14">
        <f>(B12^3*B11)/12</f>
        <v>212.24730889290527</v>
      </c>
      <c r="AG14" s="1">
        <v>0.1</v>
      </c>
      <c r="AH14">
        <v>2.341E-2</v>
      </c>
      <c r="AJ14" s="471">
        <f t="shared" si="0"/>
        <v>2.152896347304198</v>
      </c>
      <c r="AK14" s="472">
        <f t="shared" si="1"/>
        <v>0.38364612908960805</v>
      </c>
      <c r="AM14" s="469">
        <f>Horizontal!$AJ13/$Z$2</f>
        <v>1.1301293161701826</v>
      </c>
      <c r="AN14" s="470">
        <f>Horizontal!$AK13/$Z$2</f>
        <v>0.16211705040461272</v>
      </c>
      <c r="AQ14" s="474">
        <v>10</v>
      </c>
      <c r="AR14" s="474">
        <f>ABS(Horizontal!$AM14-AM13)</f>
        <v>0.28253232904254566</v>
      </c>
      <c r="AS14" s="474">
        <f t="shared" si="2"/>
        <v>0.32423410080922543</v>
      </c>
      <c r="AT14" s="474">
        <f t="shared" si="3"/>
        <v>1.2713954806914556</v>
      </c>
      <c r="AU14" s="474">
        <f t="shared" si="4"/>
        <v>0</v>
      </c>
      <c r="AV14" s="474">
        <f t="shared" si="5"/>
        <v>8.0253313199976455E-4</v>
      </c>
      <c r="AW14" s="474">
        <f t="shared" si="6"/>
        <v>6.0937115371677557E-4</v>
      </c>
      <c r="AX14" s="474">
        <v>0</v>
      </c>
    </row>
    <row r="15" spans="1:50" x14ac:dyDescent="0.25">
      <c r="E15">
        <f>B14/(100^4)</f>
        <v>7.6459979045472554E-9</v>
      </c>
      <c r="F15">
        <f>E14/(100^4)</f>
        <v>2.1224730889290526E-6</v>
      </c>
      <c r="AG15" s="1">
        <v>7.4999999999999997E-2</v>
      </c>
      <c r="AH15">
        <v>2.1000000000000001E-2</v>
      </c>
      <c r="AJ15" s="469">
        <f t="shared" si="0"/>
        <v>1.4352642315361319</v>
      </c>
      <c r="AK15" s="470">
        <f t="shared" si="1"/>
        <v>0.33599535660260849</v>
      </c>
      <c r="AM15" s="471">
        <f>Horizontal!$AJ14/$Z$2</f>
        <v>0.84759698712763698</v>
      </c>
      <c r="AN15" s="472">
        <f>Horizontal!$AK14/$Z$2</f>
        <v>0.15104178310614491</v>
      </c>
      <c r="AQ15" s="474">
        <v>11</v>
      </c>
      <c r="AR15" s="474">
        <f>ABS(Horizontal!$AM15-AM14)</f>
        <v>0.28253232904254566</v>
      </c>
      <c r="AS15" s="474">
        <f t="shared" si="2"/>
        <v>0.30208356621228982</v>
      </c>
      <c r="AT15" s="474">
        <f t="shared" si="3"/>
        <v>0.98886315164890981</v>
      </c>
      <c r="AU15" s="474">
        <f t="shared" si="4"/>
        <v>0</v>
      </c>
      <c r="AV15" s="474">
        <f t="shared" si="5"/>
        <v>6.4903512736269001E-4</v>
      </c>
      <c r="AW15" s="474">
        <f t="shared" si="6"/>
        <v>5.6774105747122371E-4</v>
      </c>
      <c r="AX15" s="474">
        <v>0</v>
      </c>
    </row>
    <row r="16" spans="1:50" x14ac:dyDescent="0.25">
      <c r="A16" t="s">
        <v>2166</v>
      </c>
      <c r="AG16" s="1">
        <v>0.05</v>
      </c>
      <c r="AH16">
        <v>1.7770000000000001E-2</v>
      </c>
      <c r="AJ16" s="471">
        <f t="shared" si="0"/>
        <v>1.076448173652099</v>
      </c>
      <c r="AK16" s="472">
        <f t="shared" si="1"/>
        <v>0.3014054886225877</v>
      </c>
      <c r="AM16" s="469">
        <f>Horizontal!$AJ15/$Z$2</f>
        <v>0.56506465808509132</v>
      </c>
      <c r="AN16" s="470">
        <f>Horizontal!$AK15/$Z$2</f>
        <v>0.13228163645771987</v>
      </c>
      <c r="AQ16" s="474">
        <v>12</v>
      </c>
      <c r="AR16" s="474">
        <f>ABS(Horizontal!$AM16-AM15)</f>
        <v>0.28253232904254566</v>
      </c>
      <c r="AS16" s="474">
        <f t="shared" si="2"/>
        <v>0.26456327291543974</v>
      </c>
      <c r="AT16" s="474">
        <f t="shared" si="3"/>
        <v>0.70633082260636415</v>
      </c>
      <c r="AU16" s="474">
        <f t="shared" si="4"/>
        <v>0</v>
      </c>
      <c r="AV16" s="474">
        <f t="shared" si="5"/>
        <v>4.3598903531014469E-4</v>
      </c>
      <c r="AW16" s="474">
        <f t="shared" si="6"/>
        <v>4.9722477199406459E-4</v>
      </c>
      <c r="AX16" s="474">
        <v>0</v>
      </c>
    </row>
    <row r="17" spans="1:50" x14ac:dyDescent="0.25">
      <c r="AG17" s="1">
        <v>2.5000000000000001E-2</v>
      </c>
      <c r="AH17">
        <v>1.307E-2</v>
      </c>
      <c r="AJ17" s="469">
        <f t="shared" si="0"/>
        <v>0.71763211576806596</v>
      </c>
      <c r="AK17" s="470">
        <f t="shared" si="1"/>
        <v>0.25504645394397069</v>
      </c>
      <c r="AM17" s="471">
        <f>Horizontal!$AJ16/$Z$2</f>
        <v>0.42379849356381849</v>
      </c>
      <c r="AN17" s="472">
        <f>Horizontal!$AK16/$Z$2</f>
        <v>0.11866357819786917</v>
      </c>
      <c r="AQ17" s="474">
        <v>13</v>
      </c>
      <c r="AR17" s="474">
        <f>ABS(Horizontal!$AM17-AM16)</f>
        <v>0.14126616452127283</v>
      </c>
      <c r="AS17" s="474">
        <f t="shared" si="2"/>
        <v>0.23732715639573834</v>
      </c>
      <c r="AT17" s="474">
        <f t="shared" si="3"/>
        <v>0.49443157582445491</v>
      </c>
      <c r="AU17" s="474">
        <f t="shared" si="4"/>
        <v>0</v>
      </c>
      <c r="AV17" s="474">
        <f t="shared" si="5"/>
        <v>1.5736176380818563E-4</v>
      </c>
      <c r="AW17" s="474">
        <f t="shared" si="6"/>
        <v>5.5754593186006813E-5</v>
      </c>
      <c r="AX17" s="474">
        <v>0</v>
      </c>
    </row>
    <row r="18" spans="1:50" x14ac:dyDescent="0.25">
      <c r="A18" t="s">
        <v>2169</v>
      </c>
      <c r="B18">
        <f>V6*U3</f>
        <v>19.153120190937791</v>
      </c>
      <c r="C18" t="s">
        <v>2170</v>
      </c>
      <c r="AG18" s="1">
        <v>1.2500000000000001E-2</v>
      </c>
      <c r="AH18">
        <v>9.4699999999999993E-3</v>
      </c>
      <c r="AJ18" s="471">
        <f t="shared" si="0"/>
        <v>0.35881605788403298</v>
      </c>
      <c r="AK18" s="472">
        <f t="shared" si="1"/>
        <v>0.18758903506177244</v>
      </c>
      <c r="AM18" s="469">
        <f>Horizontal!$AJ17/$Z$2</f>
        <v>0.28253232904254566</v>
      </c>
      <c r="AN18" s="470">
        <f>Horizontal!$AK17/$Z$2</f>
        <v>0.10041198974172075</v>
      </c>
      <c r="AQ18" s="474">
        <v>14</v>
      </c>
      <c r="AR18" s="474">
        <f>ABS(Horizontal!$AM18-AM17)</f>
        <v>0.14126616452127283</v>
      </c>
      <c r="AS18" s="474">
        <f t="shared" si="2"/>
        <v>0.20082397948344149</v>
      </c>
      <c r="AT18" s="474">
        <f t="shared" si="3"/>
        <v>0.35316541130318208</v>
      </c>
      <c r="AU18" s="474">
        <f t="shared" si="4"/>
        <v>0</v>
      </c>
      <c r="AV18" s="474">
        <f t="shared" si="5"/>
        <v>9.5346249390594484E-5</v>
      </c>
      <c r="AW18" s="474">
        <f t="shared" si="6"/>
        <v>4.7179005757873402E-5</v>
      </c>
      <c r="AX18" s="474">
        <v>0</v>
      </c>
    </row>
    <row r="19" spans="1:50" x14ac:dyDescent="0.25">
      <c r="AG19" s="1">
        <v>0</v>
      </c>
      <c r="AH19">
        <v>0</v>
      </c>
      <c r="AJ19" s="469">
        <f t="shared" si="0"/>
        <v>0.17940802894201649</v>
      </c>
      <c r="AK19" s="470">
        <f t="shared" si="1"/>
        <v>0.13591952272647168</v>
      </c>
      <c r="AM19" s="471">
        <f>Horizontal!$AJ18/$Z$2</f>
        <v>0.14126616452127283</v>
      </c>
      <c r="AN19" s="472">
        <f>Horizontal!$AK18/$Z$2</f>
        <v>7.3853950811721428E-2</v>
      </c>
      <c r="AQ19" s="474">
        <v>15</v>
      </c>
      <c r="AR19" s="474">
        <f>ABS(Horizontal!$AM19-AM18)</f>
        <v>0.14126616452127283</v>
      </c>
      <c r="AS19" s="474">
        <f t="shared" si="2"/>
        <v>0.14770790162344286</v>
      </c>
      <c r="AT19" s="474">
        <f t="shared" si="3"/>
        <v>0.21189924678190925</v>
      </c>
      <c r="AU19" s="474">
        <f t="shared" si="4"/>
        <v>0</v>
      </c>
      <c r="AV19" s="474">
        <f t="shared" si="5"/>
        <v>3.7937446268468312E-5</v>
      </c>
      <c r="AW19" s="474">
        <f t="shared" si="6"/>
        <v>3.4700596806719478E-5</v>
      </c>
      <c r="AX19" s="474">
        <v>0</v>
      </c>
    </row>
    <row r="20" spans="1:50" x14ac:dyDescent="0.25">
      <c r="B20" t="s">
        <v>2171</v>
      </c>
      <c r="C20" t="s">
        <v>2172</v>
      </c>
      <c r="D20" t="s">
        <v>2192</v>
      </c>
      <c r="E20" t="s">
        <v>2194</v>
      </c>
      <c r="AG20" s="1"/>
      <c r="AJ20" s="465">
        <f t="shared" si="0"/>
        <v>0</v>
      </c>
      <c r="AK20" s="466">
        <f t="shared" si="1"/>
        <v>0</v>
      </c>
      <c r="AM20" s="469">
        <f>Horizontal!$AJ19/$Z$2</f>
        <v>7.0633082260636415E-2</v>
      </c>
      <c r="AN20" s="470">
        <f>Horizontal!$AK19/$Z$2</f>
        <v>5.3511623120658137E-2</v>
      </c>
      <c r="AQ20" s="474">
        <v>16</v>
      </c>
      <c r="AR20" s="474">
        <f>ABS(Horizontal!$AM20-AM19)</f>
        <v>7.0633082260636415E-2</v>
      </c>
      <c r="AS20" s="474">
        <f>AN20-AN42</f>
        <v>0.10702324624131627</v>
      </c>
      <c r="AT20" s="474">
        <f t="shared" si="3"/>
        <v>0.10594962339095462</v>
      </c>
      <c r="AU20" s="474">
        <f t="shared" si="4"/>
        <v>0</v>
      </c>
      <c r="AV20" s="474">
        <f t="shared" si="5"/>
        <v>7.2154142856594944E-6</v>
      </c>
      <c r="AW20" s="474">
        <f t="shared" si="6"/>
        <v>3.1428333182826457E-6</v>
      </c>
      <c r="AX20" s="474">
        <v>0</v>
      </c>
    </row>
    <row r="21" spans="1:50" x14ac:dyDescent="0.25">
      <c r="A21">
        <v>0</v>
      </c>
      <c r="B21">
        <f>$B$18-$U$3*A21</f>
        <v>19.153120190937791</v>
      </c>
      <c r="C21">
        <f>B21*$W$6/$B$14</f>
        <v>10.789547135026814</v>
      </c>
      <c r="D21">
        <f>B21*-$W$6/$B$14</f>
        <v>-10.789547135026814</v>
      </c>
      <c r="E21">
        <f>D21*$L$11</f>
        <v>-15.648915075954918</v>
      </c>
      <c r="AG21" s="1">
        <v>1.2500000000000001E-2</v>
      </c>
      <c r="AH21">
        <v>-9.4699999999999993E-3</v>
      </c>
      <c r="AJ21" s="467"/>
      <c r="AK21" s="468"/>
      <c r="AM21" s="465">
        <f>Horizontal!$AJ20/$Z$2</f>
        <v>0</v>
      </c>
      <c r="AN21" s="466">
        <f>Horizontal!$AK20/$Z$2</f>
        <v>0</v>
      </c>
      <c r="AQ21" s="474">
        <v>17</v>
      </c>
      <c r="AR21" s="474">
        <f>ABS(Horizontal!$AM21-AM20)</f>
        <v>7.0633082260636415E-2</v>
      </c>
      <c r="AS21">
        <f>AN20-AN42</f>
        <v>0.10702324624131627</v>
      </c>
      <c r="AT21" s="474">
        <f t="shared" si="3"/>
        <v>3.5316541130318208E-2</v>
      </c>
      <c r="AU21" s="474">
        <f t="shared" si="4"/>
        <v>0</v>
      </c>
      <c r="AV21" s="474">
        <f t="shared" si="5"/>
        <v>7.2154142856594944E-6</v>
      </c>
      <c r="AW21" s="474">
        <f t="shared" si="6"/>
        <v>3.1428333182826457E-6</v>
      </c>
      <c r="AX21" s="474">
        <v>0</v>
      </c>
    </row>
    <row r="22" spans="1:50" x14ac:dyDescent="0.25">
      <c r="A22">
        <f>$B$12/10+A21</f>
        <v>1.4352642315361319</v>
      </c>
      <c r="B22">
        <f t="shared" ref="B22:B31" si="7">$B$18-$U$3*A22</f>
        <v>17.237808171844012</v>
      </c>
      <c r="C22">
        <f t="shared" ref="C22:C31" si="8">B22*$W$6/$B$14</f>
        <v>9.710592421524133</v>
      </c>
      <c r="D22">
        <f t="shared" ref="D22:D31" si="9">B22*-$W$6/$B$14</f>
        <v>-9.710592421524133</v>
      </c>
      <c r="E22">
        <f t="shared" ref="E22:E31" si="10">D22*$L$11</f>
        <v>-14.084023568359427</v>
      </c>
      <c r="AG22" s="1">
        <v>2.5000000000000001E-2</v>
      </c>
      <c r="AH22">
        <v>-1.307E-2</v>
      </c>
      <c r="AJ22" s="469">
        <f>AG21*100*$B$5</f>
        <v>0.17940802894201649</v>
      </c>
      <c r="AK22" s="470">
        <f>AH21*100*$B$5</f>
        <v>-0.13591952272647168</v>
      </c>
      <c r="AQ22" s="474"/>
      <c r="AR22" s="474"/>
    </row>
    <row r="23" spans="1:50" x14ac:dyDescent="0.25">
      <c r="A23">
        <f t="shared" ref="A23:A31" si="11">$B$12/10+A22</f>
        <v>2.8705284630722638</v>
      </c>
      <c r="B23">
        <f t="shared" si="7"/>
        <v>15.322496152750233</v>
      </c>
      <c r="C23">
        <f t="shared" si="8"/>
        <v>8.6316377080214526</v>
      </c>
      <c r="D23">
        <f t="shared" si="9"/>
        <v>-8.6316377080214526</v>
      </c>
      <c r="E23">
        <f t="shared" si="10"/>
        <v>-12.519132060763937</v>
      </c>
      <c r="AG23" s="1">
        <v>0.05</v>
      </c>
      <c r="AH23">
        <v>-1.7770000000000001E-2</v>
      </c>
      <c r="AJ23" s="471">
        <f t="shared" ref="AJ23:AK38" si="12">AG22*100*$B$5</f>
        <v>0.35881605788403298</v>
      </c>
      <c r="AK23" s="472">
        <f t="shared" si="12"/>
        <v>-0.18758903506177244</v>
      </c>
      <c r="AQ23" s="474"/>
    </row>
    <row r="24" spans="1:50" x14ac:dyDescent="0.25">
      <c r="A24">
        <f t="shared" si="11"/>
        <v>4.305792694608396</v>
      </c>
      <c r="B24">
        <f t="shared" si="7"/>
        <v>13.407184133656454</v>
      </c>
      <c r="C24">
        <f t="shared" si="8"/>
        <v>7.5526829945187695</v>
      </c>
      <c r="D24">
        <f t="shared" si="9"/>
        <v>-7.5526829945187695</v>
      </c>
      <c r="E24">
        <f t="shared" si="10"/>
        <v>-10.954240553168443</v>
      </c>
      <c r="AG24" s="1">
        <v>7.4999999999999997E-2</v>
      </c>
      <c r="AH24">
        <v>-2.1000000000000001E-2</v>
      </c>
      <c r="AJ24" s="469">
        <f t="shared" si="12"/>
        <v>0.71763211576806596</v>
      </c>
      <c r="AK24" s="470">
        <f t="shared" si="12"/>
        <v>-0.25504645394397069</v>
      </c>
      <c r="AQ24" s="474"/>
    </row>
    <row r="25" spans="1:50" x14ac:dyDescent="0.25">
      <c r="A25">
        <f t="shared" si="11"/>
        <v>5.7410569261445277</v>
      </c>
      <c r="B25">
        <f t="shared" si="7"/>
        <v>11.491872114562675</v>
      </c>
      <c r="C25">
        <f t="shared" si="8"/>
        <v>6.473728281016089</v>
      </c>
      <c r="D25">
        <f t="shared" si="9"/>
        <v>-6.473728281016089</v>
      </c>
      <c r="E25">
        <f t="shared" si="10"/>
        <v>-9.3893490455729527</v>
      </c>
      <c r="AG25" s="1">
        <v>0.1</v>
      </c>
      <c r="AH25">
        <v>-2.341E-2</v>
      </c>
      <c r="AJ25" s="471">
        <f t="shared" si="12"/>
        <v>1.076448173652099</v>
      </c>
      <c r="AK25" s="472">
        <f t="shared" si="12"/>
        <v>-0.3014054886225877</v>
      </c>
      <c r="AM25" s="474" t="s">
        <v>2287</v>
      </c>
      <c r="AN25" s="474" t="s">
        <v>2288</v>
      </c>
    </row>
    <row r="26" spans="1:50" x14ac:dyDescent="0.25">
      <c r="A26">
        <f t="shared" si="11"/>
        <v>7.1763211576806594</v>
      </c>
      <c r="B26">
        <f t="shared" si="7"/>
        <v>9.5765600954688956</v>
      </c>
      <c r="C26">
        <f t="shared" si="8"/>
        <v>5.3947735675134068</v>
      </c>
      <c r="D26">
        <f t="shared" si="9"/>
        <v>-5.3947735675134068</v>
      </c>
      <c r="E26">
        <f t="shared" si="10"/>
        <v>-7.8244575379774588</v>
      </c>
      <c r="AG26" s="1">
        <v>0.15</v>
      </c>
      <c r="AH26">
        <v>-2.673E-2</v>
      </c>
      <c r="AJ26" s="469">
        <f t="shared" si="12"/>
        <v>1.4352642315361319</v>
      </c>
      <c r="AK26" s="470">
        <f t="shared" si="12"/>
        <v>-0.33599535660260849</v>
      </c>
      <c r="AM26">
        <f>Horizontal!$AJ38/$Z$2</f>
        <v>5.6506465808509132</v>
      </c>
      <c r="AN26">
        <f>Horizontal!$AK38/$Z$2</f>
        <v>0</v>
      </c>
    </row>
    <row r="27" spans="1:50" x14ac:dyDescent="0.25">
      <c r="A27">
        <f t="shared" si="11"/>
        <v>8.611585389216792</v>
      </c>
      <c r="B27">
        <f t="shared" si="7"/>
        <v>7.6612480763751147</v>
      </c>
      <c r="C27">
        <f t="shared" si="8"/>
        <v>4.3158188540107245</v>
      </c>
      <c r="D27">
        <f t="shared" si="9"/>
        <v>-4.3158188540107245</v>
      </c>
      <c r="E27">
        <f t="shared" si="10"/>
        <v>-6.2595660303819658</v>
      </c>
      <c r="AG27" s="1">
        <v>0.2</v>
      </c>
      <c r="AH27">
        <v>-2.869E-2</v>
      </c>
      <c r="AJ27" s="471">
        <f t="shared" si="12"/>
        <v>2.152896347304198</v>
      </c>
      <c r="AK27" s="472">
        <f t="shared" si="12"/>
        <v>-0.38364612908960805</v>
      </c>
      <c r="AM27" s="341">
        <f>Horizontal!$AJ37/$Z$2</f>
        <v>5.3681142518083673</v>
      </c>
      <c r="AN27" s="341">
        <f>Horizontal!$AK37/$Z$2</f>
        <v>-2.2772105720829178E-2</v>
      </c>
    </row>
    <row r="28" spans="1:50" x14ac:dyDescent="0.25">
      <c r="A28">
        <f t="shared" si="11"/>
        <v>10.046849620752925</v>
      </c>
      <c r="B28">
        <f t="shared" si="7"/>
        <v>5.7459360572813356</v>
      </c>
      <c r="C28">
        <f t="shared" si="8"/>
        <v>3.2368641405080432</v>
      </c>
      <c r="D28">
        <f t="shared" si="9"/>
        <v>-3.2368641405080432</v>
      </c>
      <c r="E28">
        <f t="shared" si="10"/>
        <v>-4.6946745227864746</v>
      </c>
      <c r="AG28" s="1">
        <v>0.25</v>
      </c>
      <c r="AH28">
        <v>-2.971E-2</v>
      </c>
      <c r="AJ28" s="469">
        <f t="shared" si="12"/>
        <v>2.8705284630722638</v>
      </c>
      <c r="AK28" s="470">
        <f t="shared" si="12"/>
        <v>-0.41177730802771628</v>
      </c>
      <c r="AM28" s="341">
        <f>Horizontal!$AJ36/$Z$2</f>
        <v>5.0855819227658223</v>
      </c>
      <c r="AN28" s="341">
        <f>Horizontal!$AK36/$Z$2</f>
        <v>-4.0910681245360611E-2</v>
      </c>
    </row>
    <row r="29" spans="1:50" x14ac:dyDescent="0.25">
      <c r="A29">
        <f t="shared" si="11"/>
        <v>11.482113852289057</v>
      </c>
      <c r="B29">
        <f t="shared" si="7"/>
        <v>3.8306240381875547</v>
      </c>
      <c r="C29">
        <f t="shared" si="8"/>
        <v>2.1579094270053609</v>
      </c>
      <c r="D29">
        <f t="shared" si="9"/>
        <v>-2.1579094270053609</v>
      </c>
      <c r="E29">
        <f t="shared" si="10"/>
        <v>-3.1297830151909811</v>
      </c>
      <c r="AG29" s="1">
        <v>0.3</v>
      </c>
      <c r="AH29">
        <v>-3.0009999999999998E-2</v>
      </c>
      <c r="AJ29" s="471">
        <f t="shared" si="12"/>
        <v>3.5881605788403297</v>
      </c>
      <c r="AK29" s="472">
        <f t="shared" si="12"/>
        <v>-0.4264170031893848</v>
      </c>
      <c r="AM29" s="341">
        <f>Horizontal!$AJ35/$Z$2</f>
        <v>4.5205172646807306</v>
      </c>
      <c r="AN29" s="341">
        <f>Horizontal!$AK35/$Z$2</f>
        <v>-7.4136483140763987E-2</v>
      </c>
    </row>
    <row r="30" spans="1:50" x14ac:dyDescent="0.25">
      <c r="A30">
        <f t="shared" si="11"/>
        <v>12.91737808382519</v>
      </c>
      <c r="B30">
        <f t="shared" si="7"/>
        <v>1.9153120190937756</v>
      </c>
      <c r="C30">
        <f t="shared" si="8"/>
        <v>1.0789547135026794</v>
      </c>
      <c r="D30">
        <f t="shared" si="9"/>
        <v>-1.0789547135026794</v>
      </c>
      <c r="E30">
        <f t="shared" si="10"/>
        <v>-1.564891507595489</v>
      </c>
      <c r="AG30" s="1">
        <v>0.4</v>
      </c>
      <c r="AH30">
        <v>-2.9020000000000001E-2</v>
      </c>
      <c r="AJ30" s="469">
        <f t="shared" si="12"/>
        <v>4.305792694608396</v>
      </c>
      <c r="AK30" s="470">
        <f t="shared" si="12"/>
        <v>-0.43072279588399315</v>
      </c>
      <c r="AM30" s="341">
        <f>Horizontal!$AJ34/$Z$2</f>
        <v>3.9554526065956388</v>
      </c>
      <c r="AN30" s="341">
        <f>Horizontal!$AK34/$Z$2</f>
        <v>-0.10351984536118872</v>
      </c>
    </row>
    <row r="31" spans="1:50" x14ac:dyDescent="0.25">
      <c r="A31">
        <f t="shared" si="11"/>
        <v>14.352642315361322</v>
      </c>
      <c r="B31">
        <f t="shared" si="7"/>
        <v>0</v>
      </c>
      <c r="C31">
        <f t="shared" si="8"/>
        <v>0</v>
      </c>
      <c r="D31">
        <f t="shared" si="9"/>
        <v>0</v>
      </c>
      <c r="E31">
        <f t="shared" si="10"/>
        <v>0</v>
      </c>
      <c r="AG31" s="1">
        <v>0.5</v>
      </c>
      <c r="AH31">
        <v>-2.647E-2</v>
      </c>
      <c r="AJ31" s="471">
        <f t="shared" si="12"/>
        <v>5.7410569261445277</v>
      </c>
      <c r="AK31" s="472">
        <f t="shared" si="12"/>
        <v>-0.41651367999178551</v>
      </c>
      <c r="AM31" s="341">
        <f>Horizontal!$AJ33/$Z$2</f>
        <v>3.3903879485105479</v>
      </c>
      <c r="AN31" s="341">
        <f>Horizontal!$AK33/$Z$2</f>
        <v>-0.12894775497501784</v>
      </c>
    </row>
    <row r="32" spans="1:50" x14ac:dyDescent="0.25">
      <c r="AG32" s="1">
        <v>0.6</v>
      </c>
      <c r="AH32">
        <v>-2.282E-2</v>
      </c>
      <c r="AJ32" s="469">
        <f>AG31*100*$B$5</f>
        <v>7.1763211576806594</v>
      </c>
      <c r="AK32" s="470">
        <f>AH31*100*$B$5</f>
        <v>-0.37991444208761416</v>
      </c>
      <c r="AM32" s="341">
        <f>Horizontal!$AJ32/$Z$2</f>
        <v>2.8253232904254566</v>
      </c>
      <c r="AN32" s="341">
        <f>Horizontal!$AK32/$Z$2</f>
        <v>-0.14957261499512367</v>
      </c>
    </row>
    <row r="33" spans="1:40" x14ac:dyDescent="0.25">
      <c r="AG33" s="1">
        <v>0.7</v>
      </c>
      <c r="AH33">
        <v>-1.8319999999999999E-2</v>
      </c>
      <c r="AJ33" s="471">
        <f t="shared" si="12"/>
        <v>8.611585389216792</v>
      </c>
      <c r="AK33" s="472">
        <f t="shared" si="12"/>
        <v>-0.32752729763654531</v>
      </c>
      <c r="AM33" s="341">
        <f>Horizontal!$AJ31/$Z$2</f>
        <v>2.2602586323403653</v>
      </c>
      <c r="AN33" s="341">
        <f>Horizontal!$AK31/$Z$2</f>
        <v>-0.1639817637762935</v>
      </c>
    </row>
    <row r="34" spans="1:40" x14ac:dyDescent="0.25">
      <c r="A34" t="s">
        <v>2173</v>
      </c>
      <c r="AG34" s="1">
        <v>0.8</v>
      </c>
      <c r="AH34">
        <v>-1.312E-2</v>
      </c>
      <c r="AJ34" s="469">
        <f t="shared" si="12"/>
        <v>10.046849620752923</v>
      </c>
      <c r="AK34" s="470">
        <f t="shared" si="12"/>
        <v>-0.26294040721741935</v>
      </c>
      <c r="AM34" s="341">
        <f>Horizontal!$AJ30/$Z$2</f>
        <v>1.695193974255274</v>
      </c>
      <c r="AN34" s="341">
        <f>Horizontal!$AK30/$Z$2</f>
        <v>-0.16957590389133589</v>
      </c>
    </row>
    <row r="35" spans="1:40" x14ac:dyDescent="0.25">
      <c r="AG35" s="1">
        <v>0.9</v>
      </c>
      <c r="AH35">
        <v>-7.2399999999999999E-3</v>
      </c>
      <c r="AJ35" s="471">
        <f t="shared" si="12"/>
        <v>11.482113852289055</v>
      </c>
      <c r="AK35" s="472">
        <f t="shared" si="12"/>
        <v>-0.18830666717754052</v>
      </c>
      <c r="AM35" s="341">
        <f>Horizontal!$AJ29/$Z$2</f>
        <v>1.4126616452127283</v>
      </c>
      <c r="AN35" s="341">
        <f>Horizontal!$AK29/$Z$2</f>
        <v>-0.16788070991708062</v>
      </c>
    </row>
    <row r="36" spans="1:40" x14ac:dyDescent="0.25">
      <c r="A36" t="s">
        <v>2191</v>
      </c>
      <c r="AG36" s="1">
        <v>0.95</v>
      </c>
      <c r="AH36">
        <v>-4.0299999999999997E-3</v>
      </c>
      <c r="AJ36" s="469">
        <f t="shared" si="12"/>
        <v>12.917378083825188</v>
      </c>
      <c r="AK36" s="470">
        <f t="shared" si="12"/>
        <v>-0.10391313036321595</v>
      </c>
      <c r="AM36" s="341">
        <f>Horizontal!$AJ28/$Z$2</f>
        <v>1.1301293161701826</v>
      </c>
      <c r="AN36" s="341">
        <f>Horizontal!$AK28/$Z$2</f>
        <v>-0.16211705040461272</v>
      </c>
    </row>
    <row r="37" spans="1:40" x14ac:dyDescent="0.25">
      <c r="A37" t="s">
        <v>2191</v>
      </c>
      <c r="AG37" s="1">
        <v>1</v>
      </c>
      <c r="AH37">
        <v>-6.3000000000000003E-4</v>
      </c>
      <c r="AJ37" s="471">
        <f t="shared" si="12"/>
        <v>13.635010199593253</v>
      </c>
      <c r="AK37" s="472">
        <f t="shared" si="12"/>
        <v>-5.7841148530906113E-2</v>
      </c>
      <c r="AM37" s="341">
        <f>Horizontal!$AJ27/$Z$2</f>
        <v>0.84759698712763698</v>
      </c>
      <c r="AN37" s="341">
        <f>Horizontal!$AK27/$Z$2</f>
        <v>-0.15104178310614491</v>
      </c>
    </row>
    <row r="38" spans="1:40" x14ac:dyDescent="0.25">
      <c r="AJ38" s="469">
        <f t="shared" si="12"/>
        <v>14.352642315361319</v>
      </c>
      <c r="AK38" s="470">
        <v>0</v>
      </c>
      <c r="AM38" s="341">
        <f>Horizontal!$AJ26/$Z$2</f>
        <v>0.56506465808509132</v>
      </c>
      <c r="AN38" s="341">
        <f>Horizontal!$AK26/$Z$2</f>
        <v>-0.13228163645771987</v>
      </c>
    </row>
    <row r="39" spans="1:40" x14ac:dyDescent="0.25">
      <c r="AJ39" s="465"/>
      <c r="AK39" s="466"/>
      <c r="AM39" s="341">
        <f>Horizontal!$AJ25/$Z$2</f>
        <v>0.42379849356381849</v>
      </c>
      <c r="AN39" s="341">
        <f>Horizontal!$AK25/$Z$2</f>
        <v>-0.11866357819786917</v>
      </c>
    </row>
    <row r="40" spans="1:40" x14ac:dyDescent="0.25">
      <c r="AM40" s="341">
        <f>Horizontal!$AJ24/$Z$2</f>
        <v>0.28253232904254566</v>
      </c>
      <c r="AN40" s="341">
        <f>Horizontal!$AK24/$Z$2</f>
        <v>-0.10041198974172075</v>
      </c>
    </row>
    <row r="41" spans="1:40" x14ac:dyDescent="0.25">
      <c r="AM41" s="341">
        <f>Horizontal!$AJ23/$Z$2</f>
        <v>0.14126616452127283</v>
      </c>
      <c r="AN41" s="341">
        <f>Horizontal!$AK23/$Z$2</f>
        <v>-7.3853950811721428E-2</v>
      </c>
    </row>
    <row r="42" spans="1:40" ht="15.75" thickBot="1" x14ac:dyDescent="0.3">
      <c r="AM42" s="341">
        <f>Horizontal!$AJ22/$Z$2</f>
        <v>7.0633082260636415E-2</v>
      </c>
      <c r="AN42" s="341">
        <f>Horizontal!$AK22/$Z$2</f>
        <v>-5.3511623120658137E-2</v>
      </c>
    </row>
    <row r="43" spans="1:40" s="504" customFormat="1" ht="15.75" thickTop="1" x14ac:dyDescent="0.25">
      <c r="A43" s="503" t="s">
        <v>2323</v>
      </c>
      <c r="K43" s="537"/>
      <c r="L43" s="537"/>
      <c r="M43" s="537"/>
      <c r="N43" s="537"/>
      <c r="O43" s="537"/>
      <c r="P43" s="537"/>
    </row>
    <row r="44" spans="1:40" s="89" customFormat="1" x14ac:dyDescent="0.25">
      <c r="A44" s="194" t="s">
        <v>771</v>
      </c>
      <c r="B44" s="89" t="s">
        <v>2030</v>
      </c>
      <c r="E44" s="89" t="s">
        <v>2312</v>
      </c>
      <c r="F44" s="89">
        <f>B6*100/(Z2*2)</f>
        <v>13.184842021985464</v>
      </c>
      <c r="J44" s="141" t="s">
        <v>2309</v>
      </c>
      <c r="K44" s="197"/>
      <c r="L44" s="197"/>
      <c r="M44" s="197"/>
      <c r="N44" s="197"/>
      <c r="O44" s="196"/>
      <c r="P44" s="196"/>
      <c r="S44" s="196"/>
      <c r="T44" s="196"/>
      <c r="U44" s="196"/>
      <c r="V44" s="196"/>
      <c r="X44" s="196"/>
    </row>
    <row r="45" spans="1:40" s="89" customFormat="1" x14ac:dyDescent="0.25">
      <c r="A45" s="194" t="s">
        <v>2022</v>
      </c>
      <c r="B45" s="194"/>
      <c r="C45" s="194" t="s">
        <v>723</v>
      </c>
      <c r="E45" s="167" t="s">
        <v>2313</v>
      </c>
      <c r="F45" s="167">
        <f>B5*100/Z2</f>
        <v>5.6506465808509132</v>
      </c>
      <c r="G45" s="194"/>
      <c r="J45" s="141" t="str">
        <f>N375</f>
        <v>y = -3E-07x4 + 5E-06x3 - 4E-05x2 + 8E-05x + 0.0049</v>
      </c>
      <c r="K45" s="141"/>
      <c r="L45" s="141"/>
      <c r="M45" s="141"/>
      <c r="N45" s="141"/>
      <c r="O45" s="19"/>
      <c r="P45" s="19"/>
      <c r="Z45" s="196"/>
      <c r="AA45" s="196"/>
      <c r="AB45" s="196"/>
      <c r="AC45" s="196"/>
      <c r="AE45" s="196"/>
    </row>
    <row r="46" spans="1:40" s="89" customFormat="1" x14ac:dyDescent="0.25">
      <c r="A46" s="141" t="s">
        <v>2018</v>
      </c>
      <c r="B46" s="141"/>
      <c r="C46" s="141" t="s">
        <v>2021</v>
      </c>
      <c r="E46" s="19"/>
      <c r="F46" s="19"/>
      <c r="G46" s="19"/>
      <c r="J46" s="141" t="str">
        <f>AC374</f>
        <v>a</v>
      </c>
      <c r="K46" s="141" t="str">
        <f>AD374</f>
        <v>b</v>
      </c>
      <c r="L46" s="141" t="str">
        <f t="shared" ref="L46:N46" si="13">AE374</f>
        <v>c</v>
      </c>
      <c r="M46" s="141" t="str">
        <f t="shared" si="13"/>
        <v>d</v>
      </c>
      <c r="N46" s="141" t="str">
        <f t="shared" si="13"/>
        <v>e</v>
      </c>
    </row>
    <row r="47" spans="1:40" s="89" customFormat="1" x14ac:dyDescent="0.25">
      <c r="A47" s="141" t="s">
        <v>2019</v>
      </c>
      <c r="B47" s="141"/>
      <c r="C47" s="141" t="s">
        <v>2021</v>
      </c>
      <c r="E47" s="19"/>
      <c r="F47" s="19"/>
      <c r="G47" s="19"/>
      <c r="J47" s="141" t="str">
        <f t="shared" ref="J47:K47" si="14">AC375</f>
        <v>-3E-07</v>
      </c>
      <c r="K47" s="141" t="str">
        <f t="shared" si="14"/>
        <v>5E-06</v>
      </c>
      <c r="L47" s="141">
        <f t="shared" ref="L47" si="15">AE375</f>
        <v>-4.0000000000000003E-5</v>
      </c>
      <c r="M47" s="141" t="str">
        <f t="shared" ref="M47" si="16">AF375</f>
        <v>8E-05</v>
      </c>
      <c r="N47" s="141" t="str">
        <f t="shared" ref="N47" si="17">AG375</f>
        <v>0.0049</v>
      </c>
    </row>
    <row r="48" spans="1:40" s="89" customFormat="1" x14ac:dyDescent="0.25">
      <c r="A48" s="141" t="s">
        <v>2020</v>
      </c>
      <c r="B48" s="141"/>
      <c r="C48" s="141" t="s">
        <v>2021</v>
      </c>
      <c r="E48" s="19"/>
      <c r="F48" s="19"/>
      <c r="G48" s="19"/>
    </row>
    <row r="49" spans="1:16" s="89" customFormat="1" x14ac:dyDescent="0.25"/>
    <row r="50" spans="1:16" s="89" customFormat="1" x14ac:dyDescent="0.25"/>
    <row r="51" spans="1:16" s="89" customFormat="1" x14ac:dyDescent="0.25">
      <c r="A51" s="196" t="s">
        <v>2023</v>
      </c>
    </row>
    <row r="52" spans="1:16" s="89" customFormat="1" x14ac:dyDescent="0.25">
      <c r="A52" s="19" t="s">
        <v>2024</v>
      </c>
      <c r="B52" s="89">
        <v>0</v>
      </c>
      <c r="E52" s="73"/>
    </row>
    <row r="53" spans="1:16" s="89" customFormat="1" x14ac:dyDescent="0.25">
      <c r="A53" s="19"/>
    </row>
    <row r="54" spans="1:16" s="89" customFormat="1" x14ac:dyDescent="0.25">
      <c r="A54" s="19"/>
    </row>
    <row r="55" spans="1:16" s="89" customFormat="1" x14ac:dyDescent="0.25">
      <c r="A55" s="19"/>
    </row>
    <row r="56" spans="1:16" s="89" customFormat="1" x14ac:dyDescent="0.25">
      <c r="A56" s="19"/>
    </row>
    <row r="57" spans="1:16" s="89" customFormat="1" x14ac:dyDescent="0.25">
      <c r="A57" s="19"/>
    </row>
    <row r="58" spans="1:16" s="89" customFormat="1" x14ac:dyDescent="0.25">
      <c r="J58" s="19"/>
      <c r="K58" s="19"/>
      <c r="L58" s="19"/>
      <c r="M58" s="19"/>
      <c r="N58" s="19"/>
      <c r="O58" s="19"/>
      <c r="P58" s="19"/>
    </row>
    <row r="59" spans="1:16" s="89" customFormat="1" x14ac:dyDescent="0.25">
      <c r="A59" s="19" t="s">
        <v>2310</v>
      </c>
      <c r="B59" s="73" t="str">
        <f>J45</f>
        <v>y = -3E-07x4 + 5E-06x3 - 4E-05x2 + 8E-05x + 0.0049</v>
      </c>
      <c r="C59" s="73"/>
      <c r="D59" s="73"/>
      <c r="E59" s="73"/>
      <c r="J59" s="19"/>
      <c r="K59" s="532"/>
      <c r="L59" s="532"/>
      <c r="M59" s="532"/>
      <c r="N59" s="532"/>
      <c r="O59" s="532"/>
      <c r="P59" s="532"/>
    </row>
    <row r="60" spans="1:16" s="89" customFormat="1" x14ac:dyDescent="0.25">
      <c r="A60" s="19"/>
      <c r="J60" s="19"/>
      <c r="K60" s="196"/>
      <c r="L60" s="196"/>
      <c r="M60" s="196"/>
      <c r="N60" s="196"/>
      <c r="O60" s="196"/>
      <c r="P60" s="196"/>
    </row>
    <row r="61" spans="1:16" s="89" customFormat="1" x14ac:dyDescent="0.25">
      <c r="A61" s="19"/>
      <c r="J61" s="19"/>
      <c r="K61" s="19"/>
      <c r="L61" s="19"/>
      <c r="M61" s="19"/>
      <c r="N61" s="19"/>
      <c r="O61" s="19"/>
      <c r="P61" s="19"/>
    </row>
    <row r="62" spans="1:16" s="89" customFormat="1" x14ac:dyDescent="0.25">
      <c r="A62" s="19"/>
    </row>
    <row r="63" spans="1:16" s="89" customFormat="1" x14ac:dyDescent="0.25">
      <c r="A63" s="19"/>
    </row>
    <row r="64" spans="1:16" s="89" customFormat="1" x14ac:dyDescent="0.25">
      <c r="A64" s="19"/>
    </row>
    <row r="65" spans="1:8" s="89" customFormat="1" x14ac:dyDescent="0.25">
      <c r="A65" s="19"/>
    </row>
    <row r="66" spans="1:8" s="89" customFormat="1" x14ac:dyDescent="0.25"/>
    <row r="67" spans="1:8" s="89" customFormat="1" x14ac:dyDescent="0.25"/>
    <row r="68" spans="1:8" s="89" customFormat="1" x14ac:dyDescent="0.25">
      <c r="A68" s="19" t="s">
        <v>2026</v>
      </c>
      <c r="B68" s="73">
        <v>0</v>
      </c>
      <c r="C68" s="73"/>
      <c r="D68" s="474"/>
      <c r="E68" s="73"/>
    </row>
    <row r="69" spans="1:8" s="89" customFormat="1" x14ac:dyDescent="0.25">
      <c r="A69" s="19"/>
    </row>
    <row r="70" spans="1:8" s="89" customFormat="1" x14ac:dyDescent="0.25">
      <c r="A70" s="19"/>
    </row>
    <row r="71" spans="1:8" s="89" customFormat="1" x14ac:dyDescent="0.25">
      <c r="A71" s="19"/>
    </row>
    <row r="72" spans="1:8" s="89" customFormat="1" x14ac:dyDescent="0.25">
      <c r="A72" s="19"/>
    </row>
    <row r="73" spans="1:8" s="89" customFormat="1" x14ac:dyDescent="0.25">
      <c r="A73" s="19"/>
    </row>
    <row r="74" spans="1:8" s="89" customFormat="1" x14ac:dyDescent="0.25">
      <c r="A74" s="19"/>
    </row>
    <row r="75" spans="1:8" s="89" customFormat="1" x14ac:dyDescent="0.25"/>
    <row r="76" spans="1:8" s="89" customFormat="1" x14ac:dyDescent="0.25"/>
    <row r="77" spans="1:8" s="89" customFormat="1" x14ac:dyDescent="0.25">
      <c r="A77" s="89" t="s">
        <v>2321</v>
      </c>
      <c r="B77" s="73" t="s">
        <v>2311</v>
      </c>
      <c r="C77" s="73"/>
      <c r="D77" s="73"/>
      <c r="E77" s="73"/>
      <c r="F77" s="474"/>
      <c r="G77" s="73"/>
      <c r="H77" s="73"/>
    </row>
    <row r="78" spans="1:8" s="89" customFormat="1" x14ac:dyDescent="0.25"/>
    <row r="79" spans="1:8" s="89" customFormat="1" x14ac:dyDescent="0.25"/>
    <row r="80" spans="1:8" s="89" customFormat="1" x14ac:dyDescent="0.25"/>
    <row r="81" spans="1:2" s="89" customFormat="1" x14ac:dyDescent="0.25"/>
    <row r="82" spans="1:2" s="89" customFormat="1" x14ac:dyDescent="0.25"/>
    <row r="83" spans="1:2" s="89" customFormat="1" x14ac:dyDescent="0.25"/>
    <row r="84" spans="1:2" s="89" customFormat="1" x14ac:dyDescent="0.25"/>
    <row r="85" spans="1:2" s="89" customFormat="1" x14ac:dyDescent="0.25"/>
    <row r="86" spans="1:2" s="89" customFormat="1" x14ac:dyDescent="0.25">
      <c r="A86" s="89" t="s">
        <v>2028</v>
      </c>
      <c r="B86" s="89">
        <v>0</v>
      </c>
    </row>
    <row r="87" spans="1:2" s="89" customFormat="1" ht="13.5" customHeight="1" x14ac:dyDescent="0.25"/>
    <row r="88" spans="1:2" s="89" customFormat="1" ht="13.5" customHeight="1" x14ac:dyDescent="0.25"/>
    <row r="89" spans="1:2" s="89" customFormat="1" ht="13.5" customHeight="1" x14ac:dyDescent="0.25"/>
    <row r="90" spans="1:2" s="89" customFormat="1" ht="13.5" customHeight="1" x14ac:dyDescent="0.25"/>
    <row r="91" spans="1:2" s="89" customFormat="1" ht="13.5" customHeight="1" x14ac:dyDescent="0.25"/>
    <row r="92" spans="1:2" s="89" customFormat="1" ht="13.5" customHeight="1" x14ac:dyDescent="0.25"/>
    <row r="93" spans="1:2" s="89" customFormat="1" ht="13.5" customHeight="1" x14ac:dyDescent="0.25"/>
    <row r="94" spans="1:2" s="89" customFormat="1" ht="13.5" customHeight="1" x14ac:dyDescent="0.25"/>
    <row r="95" spans="1:2" s="89" customFormat="1" ht="13.5" customHeight="1" x14ac:dyDescent="0.25"/>
    <row r="96" spans="1:2" s="89" customFormat="1" x14ac:dyDescent="0.25"/>
    <row r="97" spans="1:2" s="89" customFormat="1" x14ac:dyDescent="0.25">
      <c r="A97" s="89" t="s">
        <v>2029</v>
      </c>
      <c r="B97" s="89">
        <v>0</v>
      </c>
    </row>
    <row r="98" spans="1:2" s="89" customFormat="1" x14ac:dyDescent="0.25"/>
    <row r="99" spans="1:2" s="89" customFormat="1" x14ac:dyDescent="0.25"/>
    <row r="100" spans="1:2" s="89" customFormat="1" x14ac:dyDescent="0.25"/>
    <row r="101" spans="1:2" s="89" customFormat="1" x14ac:dyDescent="0.25"/>
    <row r="102" spans="1:2" s="89" customFormat="1" x14ac:dyDescent="0.25"/>
    <row r="103" spans="1:2" s="89" customFormat="1" x14ac:dyDescent="0.25"/>
    <row r="104" spans="1:2" s="89" customFormat="1" x14ac:dyDescent="0.25"/>
    <row r="105" spans="1:2" s="89" customFormat="1" x14ac:dyDescent="0.25"/>
    <row r="106" spans="1:2" s="89" customFormat="1" x14ac:dyDescent="0.25">
      <c r="A106" s="194" t="s">
        <v>2032</v>
      </c>
    </row>
    <row r="107" spans="1:2" s="89" customFormat="1" x14ac:dyDescent="0.25">
      <c r="A107" s="194"/>
    </row>
    <row r="108" spans="1:2" s="89" customFormat="1" x14ac:dyDescent="0.25">
      <c r="A108" s="167" t="s">
        <v>2033</v>
      </c>
      <c r="B108" s="73">
        <v>0</v>
      </c>
    </row>
    <row r="109" spans="1:2" s="89" customFormat="1" x14ac:dyDescent="0.25">
      <c r="A109" s="194"/>
    </row>
    <row r="110" spans="1:2" s="89" customFormat="1" x14ac:dyDescent="0.25">
      <c r="A110" s="194"/>
    </row>
    <row r="111" spans="1:2" s="89" customFormat="1" x14ac:dyDescent="0.25">
      <c r="A111" s="194"/>
    </row>
    <row r="112" spans="1:2" s="89" customFormat="1" x14ac:dyDescent="0.25">
      <c r="A112" s="194"/>
    </row>
    <row r="113" spans="1:6" s="89" customFormat="1" x14ac:dyDescent="0.25">
      <c r="A113" s="194"/>
    </row>
    <row r="114" spans="1:6" s="89" customFormat="1" x14ac:dyDescent="0.25">
      <c r="A114" s="194"/>
    </row>
    <row r="115" spans="1:6" s="89" customFormat="1" x14ac:dyDescent="0.25">
      <c r="A115" s="194"/>
    </row>
    <row r="116" spans="1:6" s="89" customFormat="1" x14ac:dyDescent="0.25">
      <c r="A116" s="194"/>
    </row>
    <row r="117" spans="1:6" s="89" customFormat="1" x14ac:dyDescent="0.25">
      <c r="A117" s="167" t="s">
        <v>2073</v>
      </c>
      <c r="B117" s="507"/>
      <c r="C117" s="89" t="s">
        <v>1942</v>
      </c>
      <c r="D117" s="89" t="s">
        <v>2318</v>
      </c>
      <c r="E117" s="89">
        <f>((J47*F44^5)/5)+((K47*F44^4)/4)+((L47*F44^3)/3)+((M47*F44^2)/2)+(N47*F44)</f>
        <v>5.4867024529583384E-2</v>
      </c>
      <c r="F117" s="89" t="s">
        <v>2317</v>
      </c>
    </row>
    <row r="118" spans="1:6" s="89" customFormat="1" x14ac:dyDescent="0.25">
      <c r="A118" s="194"/>
    </row>
    <row r="119" spans="1:6" s="89" customFormat="1" x14ac:dyDescent="0.25">
      <c r="A119" s="194"/>
    </row>
    <row r="120" spans="1:6" s="89" customFormat="1" x14ac:dyDescent="0.25">
      <c r="A120" s="194"/>
    </row>
    <row r="121" spans="1:6" s="89" customFormat="1" x14ac:dyDescent="0.25">
      <c r="A121" s="194"/>
    </row>
    <row r="122" spans="1:6" s="89" customFormat="1" x14ac:dyDescent="0.25">
      <c r="A122" s="194"/>
    </row>
    <row r="123" spans="1:6" s="89" customFormat="1" x14ac:dyDescent="0.25"/>
    <row r="124" spans="1:6" s="89" customFormat="1" x14ac:dyDescent="0.25">
      <c r="A124" s="89" t="s">
        <v>2072</v>
      </c>
      <c r="B124" s="73">
        <v>0</v>
      </c>
      <c r="D124" s="73"/>
    </row>
    <row r="125" spans="1:6" s="89" customFormat="1" x14ac:dyDescent="0.25"/>
    <row r="126" spans="1:6" s="89" customFormat="1" x14ac:dyDescent="0.25"/>
    <row r="127" spans="1:6" s="89" customFormat="1" x14ac:dyDescent="0.25"/>
    <row r="128" spans="1:6" s="89" customFormat="1" x14ac:dyDescent="0.25"/>
    <row r="129" spans="1:7" s="89" customFormat="1" x14ac:dyDescent="0.25"/>
    <row r="130" spans="1:7" s="89" customFormat="1" x14ac:dyDescent="0.25">
      <c r="A130" s="89" t="s">
        <v>2071</v>
      </c>
      <c r="B130" s="73"/>
      <c r="C130" s="89" t="s">
        <v>1837</v>
      </c>
      <c r="D130" s="73" t="s">
        <v>2319</v>
      </c>
      <c r="E130" s="89">
        <f>E117*(H307-F45*0.25)</f>
        <v>5.9723180387832059E-2</v>
      </c>
      <c r="G130" s="89" t="s">
        <v>2320</v>
      </c>
    </row>
    <row r="131" spans="1:7" s="89" customFormat="1" x14ac:dyDescent="0.25"/>
    <row r="132" spans="1:7" s="89" customFormat="1" x14ac:dyDescent="0.25"/>
    <row r="133" spans="1:7" s="89" customFormat="1" x14ac:dyDescent="0.25"/>
    <row r="134" spans="1:7" s="89" customFormat="1" x14ac:dyDescent="0.25"/>
    <row r="135" spans="1:7" s="89" customFormat="1" x14ac:dyDescent="0.25"/>
    <row r="136" spans="1:7" s="89" customFormat="1" x14ac:dyDescent="0.25"/>
    <row r="137" spans="1:7" s="89" customFormat="1" x14ac:dyDescent="0.25">
      <c r="A137" s="89" t="s">
        <v>2074</v>
      </c>
      <c r="B137" s="73">
        <v>0</v>
      </c>
      <c r="C137" s="89" t="s">
        <v>1837</v>
      </c>
      <c r="D137" s="73"/>
    </row>
    <row r="138" spans="1:7" s="89" customFormat="1" x14ac:dyDescent="0.25"/>
    <row r="139" spans="1:7" s="89" customFormat="1" x14ac:dyDescent="0.25"/>
    <row r="140" spans="1:7" s="89" customFormat="1" x14ac:dyDescent="0.25"/>
    <row r="141" spans="1:7" s="89" customFormat="1" x14ac:dyDescent="0.25"/>
    <row r="142" spans="1:7" s="89" customFormat="1" x14ac:dyDescent="0.25"/>
    <row r="143" spans="1:7" s="89" customFormat="1" x14ac:dyDescent="0.25"/>
    <row r="144" spans="1:7" s="89" customFormat="1" x14ac:dyDescent="0.25">
      <c r="A144" s="89" t="s">
        <v>2075</v>
      </c>
      <c r="B144" s="73"/>
      <c r="C144" s="89" t="s">
        <v>1837</v>
      </c>
      <c r="D144" s="89" t="s">
        <v>2322</v>
      </c>
      <c r="E144" s="89">
        <f>-(((J47*F44^6)/(6*5))+((K47*F44^5)/(5*4))+((L47*F44^4)/(4*3))+((M47*F44^3)/(3*2))+(N47*F44^2)/(2))+E117*F44</f>
        <v>0.32060115737139178</v>
      </c>
    </row>
    <row r="145" s="89" customFormat="1" x14ac:dyDescent="0.25"/>
    <row r="146" s="89" customFormat="1" x14ac:dyDescent="0.25"/>
    <row r="147" s="89" customFormat="1" x14ac:dyDescent="0.25"/>
    <row r="148" s="89" customFormat="1" x14ac:dyDescent="0.25"/>
    <row r="149" s="89" customFormat="1" x14ac:dyDescent="0.25"/>
    <row r="150" s="89" customFormat="1" x14ac:dyDescent="0.25"/>
    <row r="151" s="89" customFormat="1" x14ac:dyDescent="0.25"/>
    <row r="162" spans="1:21" ht="15.75" thickBot="1" x14ac:dyDescent="0.3"/>
    <row r="163" spans="1:21" s="193" customFormat="1" x14ac:dyDescent="0.25">
      <c r="A163" s="198"/>
      <c r="D163" s="199"/>
      <c r="E163" s="199"/>
      <c r="M163" s="199"/>
      <c r="N163" s="199"/>
      <c r="O163" s="199"/>
      <c r="P163" s="199"/>
      <c r="Q163" s="199"/>
      <c r="R163" s="200"/>
      <c r="S163" s="201"/>
      <c r="T163" s="201"/>
      <c r="U163" s="201"/>
    </row>
    <row r="164" spans="1:21" s="341" customFormat="1" x14ac:dyDescent="0.25">
      <c r="A164" s="59" t="s">
        <v>2038</v>
      </c>
      <c r="D164" s="136"/>
      <c r="E164" s="136"/>
      <c r="O164" s="136"/>
      <c r="S164" s="135"/>
      <c r="T164" s="135"/>
      <c r="U164" s="135"/>
    </row>
    <row r="165" spans="1:21" s="341" customFormat="1" x14ac:dyDescent="0.25">
      <c r="D165" s="136"/>
      <c r="E165" s="136"/>
      <c r="O165" s="136"/>
      <c r="S165" s="135"/>
      <c r="T165" s="135"/>
      <c r="U165" s="135"/>
    </row>
    <row r="166" spans="1:21" s="341" customFormat="1" x14ac:dyDescent="0.25">
      <c r="D166" s="136"/>
      <c r="E166" s="136"/>
      <c r="O166" s="136"/>
      <c r="S166" s="135"/>
      <c r="T166" s="135"/>
      <c r="U166" s="135"/>
    </row>
    <row r="167" spans="1:21" s="341" customFormat="1" x14ac:dyDescent="0.25">
      <c r="D167" s="136"/>
      <c r="E167" s="136"/>
      <c r="O167" s="136"/>
      <c r="S167" s="135"/>
      <c r="T167" s="135"/>
      <c r="U167" s="135"/>
    </row>
    <row r="168" spans="1:21" s="341" customFormat="1" x14ac:dyDescent="0.25">
      <c r="D168" s="136"/>
      <c r="E168" s="136"/>
      <c r="O168" s="136"/>
      <c r="S168" s="135"/>
      <c r="T168" s="135"/>
      <c r="U168" s="135"/>
    </row>
    <row r="169" spans="1:21" s="341" customFormat="1" x14ac:dyDescent="0.25">
      <c r="D169" s="136"/>
      <c r="E169" s="136"/>
      <c r="O169" s="136"/>
      <c r="S169" s="135"/>
      <c r="T169" s="135"/>
      <c r="U169" s="135"/>
    </row>
    <row r="170" spans="1:21" s="341" customFormat="1" x14ac:dyDescent="0.25">
      <c r="D170" s="136"/>
      <c r="E170" s="136"/>
      <c r="O170" s="136"/>
      <c r="Q170" s="341" t="s">
        <v>2039</v>
      </c>
      <c r="S170" s="135"/>
      <c r="T170" s="135"/>
      <c r="U170" s="135"/>
    </row>
    <row r="171" spans="1:21" s="341" customFormat="1" x14ac:dyDescent="0.25">
      <c r="D171" s="136"/>
      <c r="E171" s="136"/>
      <c r="O171" s="136"/>
      <c r="S171" s="135"/>
      <c r="T171" s="135"/>
      <c r="U171" s="135"/>
    </row>
    <row r="172" spans="1:21" s="341" customFormat="1" x14ac:dyDescent="0.25">
      <c r="D172" s="136"/>
      <c r="E172" s="136"/>
      <c r="O172" s="136"/>
      <c r="S172" s="135"/>
      <c r="T172" s="135"/>
      <c r="U172" s="135"/>
    </row>
    <row r="173" spans="1:21" s="341" customFormat="1" x14ac:dyDescent="0.25">
      <c r="D173" s="136"/>
      <c r="E173" s="136"/>
      <c r="O173" s="136"/>
      <c r="S173" s="135"/>
      <c r="T173" s="135"/>
      <c r="U173" s="135"/>
    </row>
    <row r="174" spans="1:21" s="341" customFormat="1" x14ac:dyDescent="0.25">
      <c r="D174" s="136"/>
      <c r="E174" s="136"/>
      <c r="O174" s="136"/>
      <c r="S174" s="135"/>
      <c r="T174" s="135"/>
      <c r="U174" s="135"/>
    </row>
    <row r="175" spans="1:21" s="341" customFormat="1" x14ac:dyDescent="0.25">
      <c r="D175" s="136"/>
      <c r="E175" s="136"/>
      <c r="O175" s="136"/>
      <c r="S175" s="135"/>
      <c r="T175" s="135"/>
      <c r="U175" s="135"/>
    </row>
    <row r="176" spans="1:21" s="341" customFormat="1" x14ac:dyDescent="0.25">
      <c r="D176" s="136"/>
      <c r="E176" s="136"/>
      <c r="O176" s="136"/>
      <c r="S176" s="135"/>
      <c r="T176" s="135"/>
      <c r="U176" s="135"/>
    </row>
    <row r="177" spans="4:21" s="341" customFormat="1" x14ac:dyDescent="0.25">
      <c r="D177" s="136"/>
      <c r="E177" s="136"/>
      <c r="O177" s="136"/>
      <c r="S177" s="135"/>
      <c r="T177" s="135"/>
      <c r="U177" s="135"/>
    </row>
    <row r="178" spans="4:21" s="341" customFormat="1" x14ac:dyDescent="0.25">
      <c r="D178" s="136"/>
      <c r="E178" s="136"/>
      <c r="O178" s="136"/>
      <c r="S178" s="135"/>
      <c r="T178" s="135"/>
      <c r="U178" s="135"/>
    </row>
    <row r="179" spans="4:21" s="341" customFormat="1" x14ac:dyDescent="0.25">
      <c r="D179" s="136"/>
      <c r="E179" s="136"/>
      <c r="O179" s="136"/>
      <c r="S179" s="135"/>
      <c r="T179" s="135"/>
      <c r="U179" s="135"/>
    </row>
    <row r="180" spans="4:21" s="341" customFormat="1" x14ac:dyDescent="0.25">
      <c r="D180" s="136"/>
      <c r="E180" s="136"/>
      <c r="O180" s="136"/>
      <c r="S180" s="135"/>
      <c r="T180" s="135"/>
      <c r="U180" s="135"/>
    </row>
    <row r="181" spans="4:21" s="341" customFormat="1" x14ac:dyDescent="0.25">
      <c r="D181" s="136"/>
      <c r="E181" s="136"/>
      <c r="O181" s="136"/>
      <c r="S181" s="135"/>
      <c r="T181" s="135"/>
      <c r="U181" s="135"/>
    </row>
    <row r="182" spans="4:21" s="341" customFormat="1" x14ac:dyDescent="0.25">
      <c r="D182" s="136"/>
      <c r="E182" s="136"/>
      <c r="O182" s="136"/>
      <c r="S182" s="135"/>
      <c r="T182" s="135"/>
      <c r="U182" s="135"/>
    </row>
    <row r="183" spans="4:21" s="341" customFormat="1" x14ac:dyDescent="0.25">
      <c r="D183" s="136"/>
      <c r="E183" s="136"/>
      <c r="O183" s="136"/>
      <c r="S183" s="135"/>
      <c r="T183" s="135"/>
      <c r="U183" s="135"/>
    </row>
    <row r="184" spans="4:21" s="341" customFormat="1" x14ac:dyDescent="0.25">
      <c r="D184" s="136"/>
      <c r="E184" s="136"/>
      <c r="O184" s="136"/>
      <c r="S184" s="135"/>
      <c r="T184" s="135"/>
      <c r="U184" s="135"/>
    </row>
    <row r="185" spans="4:21" s="341" customFormat="1" x14ac:dyDescent="0.25">
      <c r="D185" s="136"/>
      <c r="E185" s="136"/>
      <c r="O185" s="136"/>
      <c r="S185" s="135"/>
      <c r="T185" s="135"/>
      <c r="U185" s="135"/>
    </row>
    <row r="186" spans="4:21" s="341" customFormat="1" x14ac:dyDescent="0.25">
      <c r="D186" s="136"/>
      <c r="E186" s="136"/>
      <c r="O186" s="136"/>
      <c r="S186" s="135"/>
      <c r="T186" s="135"/>
      <c r="U186" s="135"/>
    </row>
    <row r="187" spans="4:21" s="341" customFormat="1" x14ac:dyDescent="0.25">
      <c r="D187" s="136"/>
      <c r="E187" s="136"/>
      <c r="O187" s="136"/>
      <c r="S187" s="135"/>
      <c r="T187" s="135"/>
      <c r="U187" s="135"/>
    </row>
    <row r="188" spans="4:21" s="341" customFormat="1" x14ac:dyDescent="0.25">
      <c r="D188" s="136"/>
      <c r="E188" s="136"/>
      <c r="O188" s="136"/>
      <c r="S188" s="135"/>
      <c r="T188" s="135"/>
      <c r="U188" s="135"/>
    </row>
    <row r="189" spans="4:21" s="341" customFormat="1" x14ac:dyDescent="0.25">
      <c r="D189" s="136"/>
      <c r="E189" s="136"/>
      <c r="O189" s="136"/>
      <c r="S189" s="135"/>
      <c r="T189" s="135"/>
      <c r="U189" s="135"/>
    </row>
    <row r="190" spans="4:21" s="341" customFormat="1" x14ac:dyDescent="0.25">
      <c r="D190" s="136"/>
      <c r="E190" s="136"/>
      <c r="O190" s="136"/>
      <c r="S190" s="135"/>
      <c r="T190" s="135"/>
      <c r="U190" s="135"/>
    </row>
    <row r="191" spans="4:21" s="341" customFormat="1" x14ac:dyDescent="0.25">
      <c r="D191" s="136"/>
      <c r="E191" s="136"/>
      <c r="O191" s="136"/>
      <c r="S191" s="135"/>
      <c r="T191" s="135"/>
      <c r="U191" s="135"/>
    </row>
    <row r="192" spans="4:21" s="341" customFormat="1" x14ac:dyDescent="0.25">
      <c r="D192" s="136"/>
      <c r="E192" s="136"/>
      <c r="O192" s="136"/>
      <c r="S192" s="135"/>
      <c r="T192" s="135"/>
      <c r="U192" s="135"/>
    </row>
    <row r="193" spans="1:27" s="341" customFormat="1" x14ac:dyDescent="0.25">
      <c r="D193" s="136"/>
      <c r="E193" s="136"/>
      <c r="O193" s="136"/>
      <c r="S193" s="135"/>
      <c r="T193" s="135"/>
      <c r="U193" s="135"/>
    </row>
    <row r="194" spans="1:27" s="341" customFormat="1" x14ac:dyDescent="0.25">
      <c r="D194" s="136"/>
      <c r="E194" s="136"/>
      <c r="O194" s="136"/>
      <c r="S194" s="135"/>
      <c r="T194" s="135"/>
      <c r="U194" s="135"/>
    </row>
    <row r="195" spans="1:27" s="341" customFormat="1" x14ac:dyDescent="0.25">
      <c r="D195" s="136"/>
      <c r="E195" s="136"/>
      <c r="O195" s="136"/>
      <c r="S195" s="135"/>
      <c r="T195" s="135"/>
      <c r="U195" s="135"/>
    </row>
    <row r="196" spans="1:27" s="341" customFormat="1" x14ac:dyDescent="0.25">
      <c r="D196" s="136"/>
      <c r="E196" s="136"/>
      <c r="O196" s="136"/>
      <c r="S196" s="135"/>
      <c r="T196" s="135"/>
      <c r="U196" s="135"/>
    </row>
    <row r="197" spans="1:27" s="341" customFormat="1" x14ac:dyDescent="0.25">
      <c r="D197" s="136"/>
      <c r="E197" s="136"/>
      <c r="O197" s="136"/>
      <c r="S197" s="135"/>
      <c r="T197" s="135"/>
      <c r="U197" s="135"/>
    </row>
    <row r="198" spans="1:27" s="341" customFormat="1" x14ac:dyDescent="0.25">
      <c r="D198" s="136"/>
      <c r="E198" s="136"/>
      <c r="O198" s="136"/>
      <c r="S198" s="135"/>
      <c r="T198" s="135"/>
      <c r="U198" s="135"/>
    </row>
    <row r="199" spans="1:27" s="341" customFormat="1" x14ac:dyDescent="0.25">
      <c r="D199" s="136"/>
      <c r="E199" s="136"/>
      <c r="O199" s="136"/>
      <c r="S199" s="135"/>
      <c r="T199" s="135"/>
      <c r="U199" s="135"/>
    </row>
    <row r="200" spans="1:27" s="341" customFormat="1" x14ac:dyDescent="0.25">
      <c r="D200" s="136"/>
      <c r="E200" s="136"/>
      <c r="O200" s="136"/>
      <c r="S200" s="135"/>
      <c r="T200" s="135"/>
      <c r="U200" s="135"/>
    </row>
    <row r="201" spans="1:27" s="341" customFormat="1" x14ac:dyDescent="0.25">
      <c r="D201" s="136"/>
      <c r="E201" s="136"/>
      <c r="O201" s="136"/>
      <c r="S201" s="135"/>
      <c r="T201" s="135"/>
      <c r="U201" s="135"/>
    </row>
    <row r="202" spans="1:27" s="341" customFormat="1" x14ac:dyDescent="0.25">
      <c r="D202" s="136"/>
      <c r="E202" s="136"/>
      <c r="O202" s="136"/>
      <c r="S202" s="135"/>
      <c r="T202" s="135"/>
      <c r="U202" s="135"/>
    </row>
    <row r="203" spans="1:27" s="341" customFormat="1" x14ac:dyDescent="0.25">
      <c r="D203" s="136"/>
      <c r="E203" s="136"/>
      <c r="O203" s="136"/>
      <c r="S203" s="135"/>
      <c r="T203" s="135"/>
      <c r="U203" s="135"/>
    </row>
    <row r="204" spans="1:27" s="341" customFormat="1" x14ac:dyDescent="0.25">
      <c r="D204" s="136"/>
      <c r="E204" s="136"/>
      <c r="O204" s="136"/>
      <c r="S204" s="135"/>
      <c r="T204" s="135"/>
      <c r="U204" s="135"/>
    </row>
    <row r="205" spans="1:27" s="341" customFormat="1" x14ac:dyDescent="0.25"/>
    <row r="206" spans="1:27" s="341" customFormat="1" x14ac:dyDescent="0.25">
      <c r="A206" s="341" t="s">
        <v>2291</v>
      </c>
      <c r="B206" s="134" t="s">
        <v>1899</v>
      </c>
      <c r="C206" s="134" t="s">
        <v>1898</v>
      </c>
      <c r="D206" s="134" t="s">
        <v>1897</v>
      </c>
      <c r="E206" s="134" t="s">
        <v>1896</v>
      </c>
      <c r="F206" s="134" t="s">
        <v>1895</v>
      </c>
      <c r="G206" s="134" t="s">
        <v>1894</v>
      </c>
      <c r="H206" s="134" t="s">
        <v>1893</v>
      </c>
      <c r="I206" s="134" t="s">
        <v>1892</v>
      </c>
      <c r="J206" s="134" t="s">
        <v>1891</v>
      </c>
      <c r="K206" s="134" t="s">
        <v>1890</v>
      </c>
      <c r="L206" s="134" t="s">
        <v>1889</v>
      </c>
      <c r="M206" s="134" t="s">
        <v>1888</v>
      </c>
      <c r="N206" s="134" t="s">
        <v>1887</v>
      </c>
      <c r="O206" s="134" t="s">
        <v>1886</v>
      </c>
      <c r="P206" s="134" t="s">
        <v>1885</v>
      </c>
      <c r="Q206" s="134" t="s">
        <v>1884</v>
      </c>
      <c r="R206" s="134" t="s">
        <v>1883</v>
      </c>
      <c r="S206" s="134" t="s">
        <v>1882</v>
      </c>
      <c r="T206" s="134" t="s">
        <v>1881</v>
      </c>
      <c r="U206" s="134" t="s">
        <v>1880</v>
      </c>
      <c r="V206" s="134" t="s">
        <v>1879</v>
      </c>
      <c r="W206" s="134" t="s">
        <v>1878</v>
      </c>
      <c r="X206" s="134" t="s">
        <v>1877</v>
      </c>
      <c r="Z206" s="134" t="s">
        <v>1876</v>
      </c>
      <c r="AA206" s="134" t="s">
        <v>1875</v>
      </c>
    </row>
    <row r="207" spans="1:27" s="341" customFormat="1" x14ac:dyDescent="0.25">
      <c r="B207" s="96">
        <v>1</v>
      </c>
      <c r="C207" s="131">
        <v>0</v>
      </c>
      <c r="D207" s="131">
        <f>$C$228</f>
        <v>2760.7739999999999</v>
      </c>
      <c r="E207" s="132">
        <f t="shared" ref="E207:E270" si="18">C207/D207</f>
        <v>0</v>
      </c>
      <c r="F207" s="94">
        <f>CH115</f>
        <v>0</v>
      </c>
      <c r="G207" s="94">
        <f>CH116</f>
        <v>0</v>
      </c>
      <c r="H207" s="133">
        <f>PI()*((AB123/2)^2-((AB124/2)^2))</f>
        <v>0</v>
      </c>
      <c r="I207" s="130">
        <f t="shared" ref="I207:J238" si="19">H207*E207</f>
        <v>0</v>
      </c>
      <c r="J207" s="129">
        <f t="shared" si="19"/>
        <v>0</v>
      </c>
      <c r="K207" s="129">
        <f t="shared" ref="K207:K270" si="20">I207*G207</f>
        <v>0</v>
      </c>
      <c r="L207" s="129">
        <f>PI()*(AB123^4-AB124^4)/64</f>
        <v>0</v>
      </c>
      <c r="M207" s="129">
        <f>PI()*(AB123^4-AB124^4)/64</f>
        <v>0</v>
      </c>
      <c r="N207" s="129">
        <v>0</v>
      </c>
      <c r="O207" s="129">
        <f t="shared" ref="O207:O270" si="21">$H$307</f>
        <v>2.5011693764025309</v>
      </c>
      <c r="P207" s="129">
        <f t="shared" ref="P207:P215" si="22">H$309</f>
        <v>0</v>
      </c>
      <c r="Q207" s="93">
        <f t="shared" ref="Q207:R238" si="23">F207-O207</f>
        <v>-2.5011693764025309</v>
      </c>
      <c r="R207" s="93">
        <f t="shared" si="23"/>
        <v>0</v>
      </c>
      <c r="S207" s="129">
        <f t="shared" ref="S207:S270" si="24">H207*Q207^2</f>
        <v>0</v>
      </c>
      <c r="T207" s="129">
        <f t="shared" ref="T207:T270" si="25">H207*R207^2</f>
        <v>0</v>
      </c>
      <c r="U207" s="129">
        <f t="shared" ref="U207:U238" si="26">H207*Q207*R207</f>
        <v>0</v>
      </c>
      <c r="V207" s="128">
        <f t="shared" ref="V207:V270" si="27">E207*(L207+T207)</f>
        <v>0</v>
      </c>
      <c r="W207" s="128">
        <f t="shared" ref="W207:W270" si="28">E207*(M207+S207)</f>
        <v>0</v>
      </c>
      <c r="X207" s="128">
        <f t="shared" ref="X207:X270" si="29">E207*(N207+U207)</f>
        <v>0</v>
      </c>
      <c r="Z207" s="68"/>
      <c r="AA207" s="68"/>
    </row>
    <row r="208" spans="1:27" s="341" customFormat="1" x14ac:dyDescent="0.25">
      <c r="B208" s="96">
        <v>2</v>
      </c>
      <c r="C208" s="131">
        <v>0</v>
      </c>
      <c r="D208" s="131">
        <f t="shared" ref="D208:D271" si="30">$C$228</f>
        <v>2760.7739999999999</v>
      </c>
      <c r="E208" s="132">
        <f t="shared" si="18"/>
        <v>0</v>
      </c>
      <c r="F208" s="132">
        <f>Q134</f>
        <v>0</v>
      </c>
      <c r="G208" s="93">
        <f>S134</f>
        <v>0</v>
      </c>
      <c r="H208" s="133">
        <f>PI()*((AB123/2)^2-((AB124/2)^2))</f>
        <v>0</v>
      </c>
      <c r="I208" s="130">
        <f t="shared" si="19"/>
        <v>0</v>
      </c>
      <c r="J208" s="129">
        <f t="shared" si="19"/>
        <v>0</v>
      </c>
      <c r="K208" s="129">
        <f t="shared" si="20"/>
        <v>0</v>
      </c>
      <c r="L208" s="129">
        <f>PI()*(AB123^4-AB124^4)/64</f>
        <v>0</v>
      </c>
      <c r="M208" s="129">
        <f>PI()*(AB123^4-AB124^4)/64</f>
        <v>0</v>
      </c>
      <c r="N208" s="129">
        <v>0</v>
      </c>
      <c r="O208" s="129">
        <f t="shared" si="21"/>
        <v>2.5011693764025309</v>
      </c>
      <c r="P208" s="129">
        <f t="shared" si="22"/>
        <v>0</v>
      </c>
      <c r="Q208" s="93">
        <f t="shared" si="23"/>
        <v>-2.5011693764025309</v>
      </c>
      <c r="R208" s="93">
        <f t="shared" si="23"/>
        <v>0</v>
      </c>
      <c r="S208" s="129">
        <f t="shared" si="24"/>
        <v>0</v>
      </c>
      <c r="T208" s="129">
        <f t="shared" si="25"/>
        <v>0</v>
      </c>
      <c r="U208" s="129">
        <f t="shared" si="26"/>
        <v>0</v>
      </c>
      <c r="V208" s="128">
        <f t="shared" si="27"/>
        <v>0</v>
      </c>
      <c r="W208" s="128">
        <f t="shared" si="28"/>
        <v>0</v>
      </c>
      <c r="X208" s="128">
        <f t="shared" si="29"/>
        <v>0</v>
      </c>
      <c r="Z208" s="68"/>
      <c r="AA208" s="68"/>
    </row>
    <row r="209" spans="2:27" s="341" customFormat="1" x14ac:dyDescent="0.25">
      <c r="B209" s="96">
        <v>3</v>
      </c>
      <c r="C209" s="131">
        <v>0</v>
      </c>
      <c r="D209" s="131">
        <f t="shared" si="30"/>
        <v>2760.7739999999999</v>
      </c>
      <c r="E209" s="132">
        <f t="shared" si="18"/>
        <v>0</v>
      </c>
      <c r="F209" s="131">
        <v>0</v>
      </c>
      <c r="G209" s="131">
        <v>0</v>
      </c>
      <c r="H209" s="131">
        <v>0</v>
      </c>
      <c r="I209" s="130">
        <f t="shared" si="19"/>
        <v>0</v>
      </c>
      <c r="J209" s="129">
        <f t="shared" si="19"/>
        <v>0</v>
      </c>
      <c r="K209" s="129">
        <f t="shared" si="20"/>
        <v>0</v>
      </c>
      <c r="L209" s="129">
        <v>0</v>
      </c>
      <c r="M209" s="129">
        <v>0</v>
      </c>
      <c r="N209" s="129">
        <v>0</v>
      </c>
      <c r="O209" s="129">
        <f t="shared" si="21"/>
        <v>2.5011693764025309</v>
      </c>
      <c r="P209" s="129">
        <f t="shared" si="22"/>
        <v>0</v>
      </c>
      <c r="Q209" s="93">
        <f t="shared" si="23"/>
        <v>-2.5011693764025309</v>
      </c>
      <c r="R209" s="93">
        <f t="shared" si="23"/>
        <v>0</v>
      </c>
      <c r="S209" s="129">
        <f t="shared" si="24"/>
        <v>0</v>
      </c>
      <c r="T209" s="129">
        <f t="shared" si="25"/>
        <v>0</v>
      </c>
      <c r="U209" s="129">
        <f t="shared" si="26"/>
        <v>0</v>
      </c>
      <c r="V209" s="128">
        <f t="shared" si="27"/>
        <v>0</v>
      </c>
      <c r="W209" s="128">
        <f t="shared" si="28"/>
        <v>0</v>
      </c>
      <c r="X209" s="128">
        <f t="shared" si="29"/>
        <v>0</v>
      </c>
      <c r="Z209" s="68"/>
      <c r="AA209" s="68"/>
    </row>
    <row r="210" spans="2:27" s="341" customFormat="1" x14ac:dyDescent="0.25">
      <c r="B210" s="96">
        <v>4</v>
      </c>
      <c r="C210" s="131">
        <v>0</v>
      </c>
      <c r="D210" s="131">
        <f t="shared" si="30"/>
        <v>2760.7739999999999</v>
      </c>
      <c r="E210" s="132">
        <f t="shared" si="18"/>
        <v>0</v>
      </c>
      <c r="F210" s="131">
        <v>0</v>
      </c>
      <c r="G210" s="131">
        <v>0</v>
      </c>
      <c r="H210" s="131">
        <v>0</v>
      </c>
      <c r="I210" s="130">
        <f t="shared" si="19"/>
        <v>0</v>
      </c>
      <c r="J210" s="129">
        <f t="shared" si="19"/>
        <v>0</v>
      </c>
      <c r="K210" s="129">
        <f t="shared" si="20"/>
        <v>0</v>
      </c>
      <c r="L210" s="129">
        <v>0</v>
      </c>
      <c r="M210" s="129">
        <v>0</v>
      </c>
      <c r="N210" s="129">
        <v>0</v>
      </c>
      <c r="O210" s="129">
        <f t="shared" si="21"/>
        <v>2.5011693764025309</v>
      </c>
      <c r="P210" s="129">
        <f t="shared" si="22"/>
        <v>0</v>
      </c>
      <c r="Q210" s="93">
        <f t="shared" si="23"/>
        <v>-2.5011693764025309</v>
      </c>
      <c r="R210" s="93">
        <f t="shared" si="23"/>
        <v>0</v>
      </c>
      <c r="S210" s="129">
        <f t="shared" si="24"/>
        <v>0</v>
      </c>
      <c r="T210" s="129">
        <f t="shared" si="25"/>
        <v>0</v>
      </c>
      <c r="U210" s="129">
        <f t="shared" si="26"/>
        <v>0</v>
      </c>
      <c r="V210" s="128">
        <f t="shared" si="27"/>
        <v>0</v>
      </c>
      <c r="W210" s="128">
        <f t="shared" si="28"/>
        <v>0</v>
      </c>
      <c r="X210" s="128">
        <f t="shared" si="29"/>
        <v>0</v>
      </c>
      <c r="Z210" s="68"/>
      <c r="AA210" s="68"/>
    </row>
    <row r="211" spans="2:27" s="341" customFormat="1" x14ac:dyDescent="0.25">
      <c r="B211" s="96">
        <v>5</v>
      </c>
      <c r="C211" s="131">
        <v>0</v>
      </c>
      <c r="D211" s="131">
        <f t="shared" si="30"/>
        <v>2760.7739999999999</v>
      </c>
      <c r="E211" s="132">
        <f t="shared" si="18"/>
        <v>0</v>
      </c>
      <c r="F211" s="131">
        <v>0</v>
      </c>
      <c r="G211" s="131">
        <v>0</v>
      </c>
      <c r="H211" s="131">
        <v>0</v>
      </c>
      <c r="I211" s="130">
        <f t="shared" si="19"/>
        <v>0</v>
      </c>
      <c r="J211" s="129">
        <f t="shared" si="19"/>
        <v>0</v>
      </c>
      <c r="K211" s="129">
        <f t="shared" si="20"/>
        <v>0</v>
      </c>
      <c r="L211" s="129">
        <v>0</v>
      </c>
      <c r="M211" s="129">
        <v>0</v>
      </c>
      <c r="N211" s="129">
        <v>0</v>
      </c>
      <c r="O211" s="129">
        <f t="shared" si="21"/>
        <v>2.5011693764025309</v>
      </c>
      <c r="P211" s="129">
        <f t="shared" si="22"/>
        <v>0</v>
      </c>
      <c r="Q211" s="93">
        <f t="shared" si="23"/>
        <v>-2.5011693764025309</v>
      </c>
      <c r="R211" s="93">
        <f t="shared" si="23"/>
        <v>0</v>
      </c>
      <c r="S211" s="129">
        <f t="shared" si="24"/>
        <v>0</v>
      </c>
      <c r="T211" s="129">
        <f t="shared" si="25"/>
        <v>0</v>
      </c>
      <c r="U211" s="129">
        <f t="shared" si="26"/>
        <v>0</v>
      </c>
      <c r="V211" s="128">
        <f t="shared" si="27"/>
        <v>0</v>
      </c>
      <c r="W211" s="128">
        <f t="shared" si="28"/>
        <v>0</v>
      </c>
      <c r="X211" s="128">
        <f t="shared" si="29"/>
        <v>0</v>
      </c>
      <c r="Z211" s="68"/>
      <c r="AA211" s="68"/>
    </row>
    <row r="212" spans="2:27" s="341" customFormat="1" x14ac:dyDescent="0.25">
      <c r="B212" s="96">
        <v>6</v>
      </c>
      <c r="C212" s="131">
        <v>0</v>
      </c>
      <c r="D212" s="131">
        <f t="shared" si="30"/>
        <v>2760.7739999999999</v>
      </c>
      <c r="E212" s="132">
        <f t="shared" si="18"/>
        <v>0</v>
      </c>
      <c r="F212" s="131">
        <v>0</v>
      </c>
      <c r="G212" s="131">
        <v>0</v>
      </c>
      <c r="H212" s="131">
        <v>0</v>
      </c>
      <c r="I212" s="130">
        <f t="shared" si="19"/>
        <v>0</v>
      </c>
      <c r="J212" s="129">
        <f t="shared" si="19"/>
        <v>0</v>
      </c>
      <c r="K212" s="129">
        <f t="shared" si="20"/>
        <v>0</v>
      </c>
      <c r="L212" s="129">
        <v>0</v>
      </c>
      <c r="M212" s="129">
        <v>0</v>
      </c>
      <c r="N212" s="129">
        <v>0</v>
      </c>
      <c r="O212" s="129">
        <f t="shared" si="21"/>
        <v>2.5011693764025309</v>
      </c>
      <c r="P212" s="129">
        <f t="shared" si="22"/>
        <v>0</v>
      </c>
      <c r="Q212" s="93">
        <f t="shared" si="23"/>
        <v>-2.5011693764025309</v>
      </c>
      <c r="R212" s="93">
        <f t="shared" si="23"/>
        <v>0</v>
      </c>
      <c r="S212" s="129">
        <f t="shared" si="24"/>
        <v>0</v>
      </c>
      <c r="T212" s="129">
        <f t="shared" si="25"/>
        <v>0</v>
      </c>
      <c r="U212" s="129">
        <f t="shared" si="26"/>
        <v>0</v>
      </c>
      <c r="V212" s="128">
        <f t="shared" si="27"/>
        <v>0</v>
      </c>
      <c r="W212" s="128">
        <f t="shared" si="28"/>
        <v>0</v>
      </c>
      <c r="X212" s="128">
        <f t="shared" si="29"/>
        <v>0</v>
      </c>
      <c r="Z212" s="68"/>
      <c r="AA212" s="68"/>
    </row>
    <row r="213" spans="2:27" s="341" customFormat="1" x14ac:dyDescent="0.25">
      <c r="B213" s="96">
        <v>7</v>
      </c>
      <c r="C213" s="131">
        <v>0</v>
      </c>
      <c r="D213" s="131">
        <f t="shared" si="30"/>
        <v>2760.7739999999999</v>
      </c>
      <c r="E213" s="132">
        <f t="shared" si="18"/>
        <v>0</v>
      </c>
      <c r="F213" s="131">
        <v>0</v>
      </c>
      <c r="G213" s="131">
        <v>0</v>
      </c>
      <c r="H213" s="131">
        <v>0</v>
      </c>
      <c r="I213" s="130">
        <f t="shared" si="19"/>
        <v>0</v>
      </c>
      <c r="J213" s="129">
        <f t="shared" si="19"/>
        <v>0</v>
      </c>
      <c r="K213" s="129">
        <f t="shared" si="20"/>
        <v>0</v>
      </c>
      <c r="L213" s="129">
        <v>0</v>
      </c>
      <c r="M213" s="129">
        <v>0</v>
      </c>
      <c r="N213" s="129">
        <v>0</v>
      </c>
      <c r="O213" s="129">
        <f t="shared" si="21"/>
        <v>2.5011693764025309</v>
      </c>
      <c r="P213" s="129">
        <f t="shared" si="22"/>
        <v>0</v>
      </c>
      <c r="Q213" s="93">
        <f t="shared" si="23"/>
        <v>-2.5011693764025309</v>
      </c>
      <c r="R213" s="93">
        <f t="shared" si="23"/>
        <v>0</v>
      </c>
      <c r="S213" s="129">
        <f t="shared" si="24"/>
        <v>0</v>
      </c>
      <c r="T213" s="129">
        <f t="shared" si="25"/>
        <v>0</v>
      </c>
      <c r="U213" s="129">
        <f t="shared" si="26"/>
        <v>0</v>
      </c>
      <c r="V213" s="128">
        <f t="shared" si="27"/>
        <v>0</v>
      </c>
      <c r="W213" s="128">
        <f t="shared" si="28"/>
        <v>0</v>
      </c>
      <c r="X213" s="128">
        <f t="shared" si="29"/>
        <v>0</v>
      </c>
      <c r="Z213" s="68"/>
      <c r="AA213" s="68"/>
    </row>
    <row r="214" spans="2:27" s="341" customFormat="1" x14ac:dyDescent="0.25">
      <c r="B214" s="96">
        <v>8</v>
      </c>
      <c r="C214" s="131">
        <v>0</v>
      </c>
      <c r="D214" s="131">
        <f t="shared" si="30"/>
        <v>2760.7739999999999</v>
      </c>
      <c r="E214" s="132">
        <f t="shared" si="18"/>
        <v>0</v>
      </c>
      <c r="F214" s="131">
        <v>0</v>
      </c>
      <c r="G214" s="131">
        <v>0</v>
      </c>
      <c r="H214" s="131">
        <v>0</v>
      </c>
      <c r="I214" s="130">
        <f t="shared" si="19"/>
        <v>0</v>
      </c>
      <c r="J214" s="129">
        <f t="shared" si="19"/>
        <v>0</v>
      </c>
      <c r="K214" s="129">
        <f t="shared" si="20"/>
        <v>0</v>
      </c>
      <c r="L214" s="129">
        <v>0</v>
      </c>
      <c r="M214" s="129">
        <v>0</v>
      </c>
      <c r="N214" s="129">
        <v>0</v>
      </c>
      <c r="O214" s="129">
        <f t="shared" si="21"/>
        <v>2.5011693764025309</v>
      </c>
      <c r="P214" s="129">
        <f t="shared" si="22"/>
        <v>0</v>
      </c>
      <c r="Q214" s="93">
        <f t="shared" si="23"/>
        <v>-2.5011693764025309</v>
      </c>
      <c r="R214" s="93">
        <f t="shared" si="23"/>
        <v>0</v>
      </c>
      <c r="S214" s="129">
        <f t="shared" si="24"/>
        <v>0</v>
      </c>
      <c r="T214" s="129">
        <f t="shared" si="25"/>
        <v>0</v>
      </c>
      <c r="U214" s="129">
        <f t="shared" si="26"/>
        <v>0</v>
      </c>
      <c r="V214" s="128">
        <f t="shared" si="27"/>
        <v>0</v>
      </c>
      <c r="W214" s="128">
        <f t="shared" si="28"/>
        <v>0</v>
      </c>
      <c r="X214" s="128">
        <f t="shared" si="29"/>
        <v>0</v>
      </c>
      <c r="Z214" s="68"/>
      <c r="AA214" s="68"/>
    </row>
    <row r="215" spans="2:27" s="341" customFormat="1" x14ac:dyDescent="0.25">
      <c r="B215" s="96">
        <v>9</v>
      </c>
      <c r="C215" s="125">
        <v>0</v>
      </c>
      <c r="D215" s="125">
        <f t="shared" si="30"/>
        <v>2760.7739999999999</v>
      </c>
      <c r="E215" s="126">
        <f t="shared" si="18"/>
        <v>0</v>
      </c>
      <c r="F215" s="127">
        <v>0</v>
      </c>
      <c r="G215" s="127">
        <v>0</v>
      </c>
      <c r="H215" s="123">
        <v>0</v>
      </c>
      <c r="I215" s="124">
        <f t="shared" si="19"/>
        <v>0</v>
      </c>
      <c r="J215" s="122">
        <f t="shared" si="19"/>
        <v>0</v>
      </c>
      <c r="K215" s="122">
        <f t="shared" si="20"/>
        <v>0</v>
      </c>
      <c r="L215" s="122">
        <f>(0*(T140^3))/12</f>
        <v>0</v>
      </c>
      <c r="M215" s="122">
        <f>T140*(0^3)/12</f>
        <v>0</v>
      </c>
      <c r="N215" s="122">
        <v>0</v>
      </c>
      <c r="O215" s="122">
        <f t="shared" si="21"/>
        <v>2.5011693764025309</v>
      </c>
      <c r="P215" s="122">
        <f t="shared" si="22"/>
        <v>0</v>
      </c>
      <c r="Q215" s="123">
        <f t="shared" si="23"/>
        <v>-2.5011693764025309</v>
      </c>
      <c r="R215" s="123">
        <f t="shared" si="23"/>
        <v>0</v>
      </c>
      <c r="S215" s="122">
        <f t="shared" si="24"/>
        <v>0</v>
      </c>
      <c r="T215" s="122">
        <f t="shared" si="25"/>
        <v>0</v>
      </c>
      <c r="U215" s="122">
        <f t="shared" si="26"/>
        <v>0</v>
      </c>
      <c r="V215" s="121">
        <f t="shared" si="27"/>
        <v>0</v>
      </c>
      <c r="W215" s="121">
        <f t="shared" si="28"/>
        <v>0</v>
      </c>
      <c r="X215" s="121">
        <f t="shared" si="29"/>
        <v>0</v>
      </c>
      <c r="Z215" s="120"/>
      <c r="AA215" s="120"/>
    </row>
    <row r="216" spans="2:27" s="341" customFormat="1" x14ac:dyDescent="0.25">
      <c r="B216" s="96">
        <v>10</v>
      </c>
      <c r="C216" s="125">
        <v>0</v>
      </c>
      <c r="D216" s="125">
        <f t="shared" si="30"/>
        <v>2760.7739999999999</v>
      </c>
      <c r="E216" s="126">
        <f t="shared" si="18"/>
        <v>0</v>
      </c>
      <c r="F216" s="125">
        <v>0</v>
      </c>
      <c r="G216" s="125">
        <v>0</v>
      </c>
      <c r="H216" s="125">
        <v>0</v>
      </c>
      <c r="I216" s="124">
        <f t="shared" si="19"/>
        <v>0</v>
      </c>
      <c r="J216" s="122">
        <f t="shared" si="19"/>
        <v>0</v>
      </c>
      <c r="K216" s="122">
        <f t="shared" si="20"/>
        <v>0</v>
      </c>
      <c r="L216" s="122">
        <v>0</v>
      </c>
      <c r="M216" s="122">
        <v>0</v>
      </c>
      <c r="N216" s="122">
        <v>0</v>
      </c>
      <c r="O216" s="122">
        <f t="shared" si="21"/>
        <v>2.5011693764025309</v>
      </c>
      <c r="P216" s="122">
        <f>H309</f>
        <v>0</v>
      </c>
      <c r="Q216" s="123">
        <f t="shared" si="23"/>
        <v>-2.5011693764025309</v>
      </c>
      <c r="R216" s="123">
        <f t="shared" si="23"/>
        <v>0</v>
      </c>
      <c r="S216" s="122">
        <f t="shared" si="24"/>
        <v>0</v>
      </c>
      <c r="T216" s="122">
        <f t="shared" si="25"/>
        <v>0</v>
      </c>
      <c r="U216" s="122">
        <f t="shared" si="26"/>
        <v>0</v>
      </c>
      <c r="V216" s="121">
        <f t="shared" si="27"/>
        <v>0</v>
      </c>
      <c r="W216" s="121">
        <f t="shared" si="28"/>
        <v>0</v>
      </c>
      <c r="X216" s="121">
        <f t="shared" si="29"/>
        <v>0</v>
      </c>
      <c r="Z216" s="120"/>
      <c r="AA216" s="120"/>
    </row>
    <row r="217" spans="2:27" s="341" customFormat="1" x14ac:dyDescent="0.25">
      <c r="B217" s="96">
        <v>11</v>
      </c>
      <c r="C217" s="125">
        <v>0</v>
      </c>
      <c r="D217" s="125">
        <f t="shared" si="30"/>
        <v>2760.7739999999999</v>
      </c>
      <c r="E217" s="126">
        <f t="shared" si="18"/>
        <v>0</v>
      </c>
      <c r="F217" s="125">
        <v>0</v>
      </c>
      <c r="G217" s="125">
        <v>0</v>
      </c>
      <c r="H217" s="125">
        <v>0</v>
      </c>
      <c r="I217" s="124">
        <f t="shared" si="19"/>
        <v>0</v>
      </c>
      <c r="J217" s="122">
        <f t="shared" si="19"/>
        <v>0</v>
      </c>
      <c r="K217" s="122">
        <f t="shared" si="20"/>
        <v>0</v>
      </c>
      <c r="L217" s="122">
        <v>0</v>
      </c>
      <c r="M217" s="122">
        <v>0</v>
      </c>
      <c r="N217" s="122">
        <v>0</v>
      </c>
      <c r="O217" s="122">
        <f t="shared" si="21"/>
        <v>2.5011693764025309</v>
      </c>
      <c r="P217" s="122">
        <f>H309</f>
        <v>0</v>
      </c>
      <c r="Q217" s="123">
        <f t="shared" si="23"/>
        <v>-2.5011693764025309</v>
      </c>
      <c r="R217" s="123">
        <f t="shared" si="23"/>
        <v>0</v>
      </c>
      <c r="S217" s="122">
        <f t="shared" si="24"/>
        <v>0</v>
      </c>
      <c r="T217" s="122">
        <f t="shared" si="25"/>
        <v>0</v>
      </c>
      <c r="U217" s="122">
        <f t="shared" si="26"/>
        <v>0</v>
      </c>
      <c r="V217" s="121">
        <f t="shared" si="27"/>
        <v>0</v>
      </c>
      <c r="W217" s="121">
        <f t="shared" si="28"/>
        <v>0</v>
      </c>
      <c r="X217" s="121">
        <f t="shared" si="29"/>
        <v>0</v>
      </c>
      <c r="Z217" s="120"/>
      <c r="AA217" s="120"/>
    </row>
    <row r="218" spans="2:27" s="341" customFormat="1" x14ac:dyDescent="0.25">
      <c r="B218" s="96">
        <v>12</v>
      </c>
      <c r="C218" s="125">
        <v>0</v>
      </c>
      <c r="D218" s="125">
        <f t="shared" si="30"/>
        <v>2760.7739999999999</v>
      </c>
      <c r="E218" s="126">
        <f t="shared" si="18"/>
        <v>0</v>
      </c>
      <c r="F218" s="125">
        <v>0</v>
      </c>
      <c r="G218" s="125">
        <v>0</v>
      </c>
      <c r="H218" s="125">
        <v>0</v>
      </c>
      <c r="I218" s="124">
        <f t="shared" si="19"/>
        <v>0</v>
      </c>
      <c r="J218" s="122">
        <f t="shared" si="19"/>
        <v>0</v>
      </c>
      <c r="K218" s="122">
        <f t="shared" si="20"/>
        <v>0</v>
      </c>
      <c r="L218" s="122">
        <v>0</v>
      </c>
      <c r="M218" s="122">
        <v>0</v>
      </c>
      <c r="N218" s="122">
        <v>0</v>
      </c>
      <c r="O218" s="122">
        <f t="shared" si="21"/>
        <v>2.5011693764025309</v>
      </c>
      <c r="P218" s="122">
        <f>H309</f>
        <v>0</v>
      </c>
      <c r="Q218" s="123">
        <f t="shared" si="23"/>
        <v>-2.5011693764025309</v>
      </c>
      <c r="R218" s="123">
        <f t="shared" si="23"/>
        <v>0</v>
      </c>
      <c r="S218" s="122">
        <f t="shared" si="24"/>
        <v>0</v>
      </c>
      <c r="T218" s="122">
        <f t="shared" si="25"/>
        <v>0</v>
      </c>
      <c r="U218" s="122">
        <f t="shared" si="26"/>
        <v>0</v>
      </c>
      <c r="V218" s="121">
        <f t="shared" si="27"/>
        <v>0</v>
      </c>
      <c r="W218" s="121">
        <f t="shared" si="28"/>
        <v>0</v>
      </c>
      <c r="X218" s="121">
        <f t="shared" si="29"/>
        <v>0</v>
      </c>
      <c r="Z218" s="120"/>
      <c r="AA218" s="120"/>
    </row>
    <row r="219" spans="2:27" s="341" customFormat="1" x14ac:dyDescent="0.25">
      <c r="B219" s="96">
        <v>13</v>
      </c>
      <c r="C219" s="125">
        <v>0</v>
      </c>
      <c r="D219" s="125">
        <f t="shared" si="30"/>
        <v>2760.7739999999999</v>
      </c>
      <c r="E219" s="126">
        <f t="shared" si="18"/>
        <v>0</v>
      </c>
      <c r="F219" s="125">
        <v>0</v>
      </c>
      <c r="G219" s="125">
        <v>0</v>
      </c>
      <c r="H219" s="125">
        <v>0</v>
      </c>
      <c r="I219" s="124">
        <f t="shared" si="19"/>
        <v>0</v>
      </c>
      <c r="J219" s="122">
        <f t="shared" si="19"/>
        <v>0</v>
      </c>
      <c r="K219" s="122">
        <f t="shared" si="20"/>
        <v>0</v>
      </c>
      <c r="L219" s="122">
        <v>0</v>
      </c>
      <c r="M219" s="122">
        <v>0</v>
      </c>
      <c r="N219" s="122">
        <v>0</v>
      </c>
      <c r="O219" s="122">
        <f t="shared" si="21"/>
        <v>2.5011693764025309</v>
      </c>
      <c r="P219" s="122">
        <f>H309</f>
        <v>0</v>
      </c>
      <c r="Q219" s="123">
        <f t="shared" si="23"/>
        <v>-2.5011693764025309</v>
      </c>
      <c r="R219" s="123">
        <f t="shared" si="23"/>
        <v>0</v>
      </c>
      <c r="S219" s="122">
        <f t="shared" si="24"/>
        <v>0</v>
      </c>
      <c r="T219" s="122">
        <f t="shared" si="25"/>
        <v>0</v>
      </c>
      <c r="U219" s="122">
        <f t="shared" si="26"/>
        <v>0</v>
      </c>
      <c r="V219" s="121">
        <f t="shared" si="27"/>
        <v>0</v>
      </c>
      <c r="W219" s="121">
        <f t="shared" si="28"/>
        <v>0</v>
      </c>
      <c r="X219" s="121">
        <f t="shared" si="29"/>
        <v>0</v>
      </c>
      <c r="Z219" s="120"/>
      <c r="AA219" s="120"/>
    </row>
    <row r="220" spans="2:27" s="341" customFormat="1" x14ac:dyDescent="0.25">
      <c r="B220" s="96">
        <v>14</v>
      </c>
      <c r="C220" s="125">
        <v>0</v>
      </c>
      <c r="D220" s="125">
        <f t="shared" si="30"/>
        <v>2760.7739999999999</v>
      </c>
      <c r="E220" s="126">
        <f t="shared" si="18"/>
        <v>0</v>
      </c>
      <c r="F220" s="125">
        <v>0</v>
      </c>
      <c r="G220" s="125">
        <v>0</v>
      </c>
      <c r="H220" s="125">
        <v>0</v>
      </c>
      <c r="I220" s="124">
        <f t="shared" si="19"/>
        <v>0</v>
      </c>
      <c r="J220" s="122">
        <f t="shared" si="19"/>
        <v>0</v>
      </c>
      <c r="K220" s="122">
        <f t="shared" si="20"/>
        <v>0</v>
      </c>
      <c r="L220" s="122">
        <v>0</v>
      </c>
      <c r="M220" s="122">
        <v>0</v>
      </c>
      <c r="N220" s="122">
        <v>0</v>
      </c>
      <c r="O220" s="122">
        <f t="shared" si="21"/>
        <v>2.5011693764025309</v>
      </c>
      <c r="P220" s="122">
        <f>H309</f>
        <v>0</v>
      </c>
      <c r="Q220" s="123">
        <f t="shared" si="23"/>
        <v>-2.5011693764025309</v>
      </c>
      <c r="R220" s="123">
        <f t="shared" si="23"/>
        <v>0</v>
      </c>
      <c r="S220" s="122">
        <f t="shared" si="24"/>
        <v>0</v>
      </c>
      <c r="T220" s="122">
        <f t="shared" si="25"/>
        <v>0</v>
      </c>
      <c r="U220" s="122">
        <f t="shared" si="26"/>
        <v>0</v>
      </c>
      <c r="V220" s="121">
        <f t="shared" si="27"/>
        <v>0</v>
      </c>
      <c r="W220" s="121">
        <f t="shared" si="28"/>
        <v>0</v>
      </c>
      <c r="X220" s="121">
        <f t="shared" si="29"/>
        <v>0</v>
      </c>
      <c r="Z220" s="120"/>
      <c r="AA220" s="120"/>
    </row>
    <row r="221" spans="2:27" s="341" customFormat="1" x14ac:dyDescent="0.25">
      <c r="B221" s="96">
        <v>15</v>
      </c>
      <c r="C221" s="125">
        <v>0</v>
      </c>
      <c r="D221" s="125">
        <f t="shared" si="30"/>
        <v>2760.7739999999999</v>
      </c>
      <c r="E221" s="126">
        <f t="shared" si="18"/>
        <v>0</v>
      </c>
      <c r="F221" s="125">
        <v>0</v>
      </c>
      <c r="G221" s="125">
        <v>0</v>
      </c>
      <c r="H221" s="125">
        <v>0</v>
      </c>
      <c r="I221" s="124">
        <f t="shared" si="19"/>
        <v>0</v>
      </c>
      <c r="J221" s="122">
        <f t="shared" si="19"/>
        <v>0</v>
      </c>
      <c r="K221" s="122">
        <f t="shared" si="20"/>
        <v>0</v>
      </c>
      <c r="L221" s="122">
        <v>0</v>
      </c>
      <c r="M221" s="122">
        <v>0</v>
      </c>
      <c r="N221" s="122">
        <v>0</v>
      </c>
      <c r="O221" s="122">
        <f t="shared" si="21"/>
        <v>2.5011693764025309</v>
      </c>
      <c r="P221" s="122">
        <f>H309</f>
        <v>0</v>
      </c>
      <c r="Q221" s="123">
        <f t="shared" si="23"/>
        <v>-2.5011693764025309</v>
      </c>
      <c r="R221" s="123">
        <f t="shared" si="23"/>
        <v>0</v>
      </c>
      <c r="S221" s="122">
        <f t="shared" si="24"/>
        <v>0</v>
      </c>
      <c r="T221" s="122">
        <f t="shared" si="25"/>
        <v>0</v>
      </c>
      <c r="U221" s="122">
        <f t="shared" si="26"/>
        <v>0</v>
      </c>
      <c r="V221" s="121">
        <f t="shared" si="27"/>
        <v>0</v>
      </c>
      <c r="W221" s="121">
        <f t="shared" si="28"/>
        <v>0</v>
      </c>
      <c r="X221" s="121">
        <f t="shared" si="29"/>
        <v>0</v>
      </c>
      <c r="Z221" s="120"/>
      <c r="AA221" s="120"/>
    </row>
    <row r="222" spans="2:27" s="341" customFormat="1" x14ac:dyDescent="0.25">
      <c r="B222" s="96">
        <v>16</v>
      </c>
      <c r="C222" s="125">
        <v>0</v>
      </c>
      <c r="D222" s="125">
        <f t="shared" si="30"/>
        <v>2760.7739999999999</v>
      </c>
      <c r="E222" s="126">
        <f t="shared" si="18"/>
        <v>0</v>
      </c>
      <c r="F222" s="125">
        <v>0</v>
      </c>
      <c r="G222" s="125">
        <v>0</v>
      </c>
      <c r="H222" s="125">
        <v>0</v>
      </c>
      <c r="I222" s="124">
        <f t="shared" si="19"/>
        <v>0</v>
      </c>
      <c r="J222" s="122">
        <f t="shared" si="19"/>
        <v>0</v>
      </c>
      <c r="K222" s="122">
        <f t="shared" si="20"/>
        <v>0</v>
      </c>
      <c r="L222" s="122">
        <v>0</v>
      </c>
      <c r="M222" s="122">
        <v>0</v>
      </c>
      <c r="N222" s="122">
        <v>0</v>
      </c>
      <c r="O222" s="122">
        <f t="shared" si="21"/>
        <v>2.5011693764025309</v>
      </c>
      <c r="P222" s="122">
        <f>H309</f>
        <v>0</v>
      </c>
      <c r="Q222" s="123">
        <f t="shared" si="23"/>
        <v>-2.5011693764025309</v>
      </c>
      <c r="R222" s="123">
        <f t="shared" si="23"/>
        <v>0</v>
      </c>
      <c r="S222" s="122">
        <f t="shared" si="24"/>
        <v>0</v>
      </c>
      <c r="T222" s="122">
        <f t="shared" si="25"/>
        <v>0</v>
      </c>
      <c r="U222" s="122">
        <f t="shared" si="26"/>
        <v>0</v>
      </c>
      <c r="V222" s="121">
        <f t="shared" si="27"/>
        <v>0</v>
      </c>
      <c r="W222" s="121">
        <f t="shared" si="28"/>
        <v>0</v>
      </c>
      <c r="X222" s="121">
        <f t="shared" si="29"/>
        <v>0</v>
      </c>
      <c r="Z222" s="120"/>
      <c r="AA222" s="120"/>
    </row>
    <row r="223" spans="2:27" s="341" customFormat="1" x14ac:dyDescent="0.25">
      <c r="B223" s="96">
        <v>17</v>
      </c>
      <c r="C223" s="125">
        <v>0</v>
      </c>
      <c r="D223" s="125">
        <f t="shared" si="30"/>
        <v>2760.7739999999999</v>
      </c>
      <c r="E223" s="126">
        <f t="shared" si="18"/>
        <v>0</v>
      </c>
      <c r="F223" s="125">
        <v>0</v>
      </c>
      <c r="G223" s="125">
        <v>0</v>
      </c>
      <c r="H223" s="125">
        <v>0</v>
      </c>
      <c r="I223" s="124">
        <f t="shared" si="19"/>
        <v>0</v>
      </c>
      <c r="J223" s="122">
        <f t="shared" si="19"/>
        <v>0</v>
      </c>
      <c r="K223" s="122">
        <f t="shared" si="20"/>
        <v>0</v>
      </c>
      <c r="L223" s="122">
        <v>0</v>
      </c>
      <c r="M223" s="122">
        <v>0</v>
      </c>
      <c r="N223" s="122">
        <v>0</v>
      </c>
      <c r="O223" s="122">
        <f t="shared" si="21"/>
        <v>2.5011693764025309</v>
      </c>
      <c r="P223" s="122">
        <f>H309</f>
        <v>0</v>
      </c>
      <c r="Q223" s="123">
        <f t="shared" si="23"/>
        <v>-2.5011693764025309</v>
      </c>
      <c r="R223" s="123">
        <f t="shared" si="23"/>
        <v>0</v>
      </c>
      <c r="S223" s="122">
        <f t="shared" si="24"/>
        <v>0</v>
      </c>
      <c r="T223" s="122">
        <f t="shared" si="25"/>
        <v>0</v>
      </c>
      <c r="U223" s="122">
        <f t="shared" si="26"/>
        <v>0</v>
      </c>
      <c r="V223" s="121">
        <f t="shared" si="27"/>
        <v>0</v>
      </c>
      <c r="W223" s="121">
        <f t="shared" si="28"/>
        <v>0</v>
      </c>
      <c r="X223" s="121">
        <f t="shared" si="29"/>
        <v>0</v>
      </c>
      <c r="Z223" s="120"/>
      <c r="AA223" s="120"/>
    </row>
    <row r="224" spans="2:27" s="341" customFormat="1" x14ac:dyDescent="0.25">
      <c r="B224" s="96">
        <v>18</v>
      </c>
      <c r="C224" s="125">
        <v>0</v>
      </c>
      <c r="D224" s="125">
        <f t="shared" si="30"/>
        <v>2760.7739999999999</v>
      </c>
      <c r="E224" s="126">
        <f t="shared" si="18"/>
        <v>0</v>
      </c>
      <c r="F224" s="125">
        <v>0</v>
      </c>
      <c r="G224" s="125">
        <v>0</v>
      </c>
      <c r="H224" s="125">
        <v>0</v>
      </c>
      <c r="I224" s="124">
        <f t="shared" si="19"/>
        <v>0</v>
      </c>
      <c r="J224" s="122">
        <f t="shared" si="19"/>
        <v>0</v>
      </c>
      <c r="K224" s="122">
        <f t="shared" si="20"/>
        <v>0</v>
      </c>
      <c r="L224" s="122">
        <v>0</v>
      </c>
      <c r="M224" s="122">
        <v>0</v>
      </c>
      <c r="N224" s="122">
        <v>0</v>
      </c>
      <c r="O224" s="122">
        <f t="shared" si="21"/>
        <v>2.5011693764025309</v>
      </c>
      <c r="P224" s="122">
        <f>H309</f>
        <v>0</v>
      </c>
      <c r="Q224" s="123">
        <f t="shared" si="23"/>
        <v>-2.5011693764025309</v>
      </c>
      <c r="R224" s="123">
        <f t="shared" si="23"/>
        <v>0</v>
      </c>
      <c r="S224" s="122">
        <f t="shared" si="24"/>
        <v>0</v>
      </c>
      <c r="T224" s="122">
        <f t="shared" si="25"/>
        <v>0</v>
      </c>
      <c r="U224" s="122">
        <f t="shared" si="26"/>
        <v>0</v>
      </c>
      <c r="V224" s="121">
        <f t="shared" si="27"/>
        <v>0</v>
      </c>
      <c r="W224" s="121">
        <f t="shared" si="28"/>
        <v>0</v>
      </c>
      <c r="X224" s="121">
        <f t="shared" si="29"/>
        <v>0</v>
      </c>
      <c r="Z224" s="120"/>
      <c r="AA224" s="120"/>
    </row>
    <row r="225" spans="1:30" s="341" customFormat="1" x14ac:dyDescent="0.25">
      <c r="B225" s="96">
        <v>19</v>
      </c>
      <c r="C225" s="125">
        <v>0</v>
      </c>
      <c r="D225" s="125">
        <f t="shared" si="30"/>
        <v>2760.7739999999999</v>
      </c>
      <c r="E225" s="126">
        <f t="shared" si="18"/>
        <v>0</v>
      </c>
      <c r="F225" s="125">
        <v>0</v>
      </c>
      <c r="G225" s="125">
        <v>0</v>
      </c>
      <c r="H225" s="125">
        <v>0</v>
      </c>
      <c r="I225" s="124">
        <f t="shared" si="19"/>
        <v>0</v>
      </c>
      <c r="J225" s="122">
        <f t="shared" si="19"/>
        <v>0</v>
      </c>
      <c r="K225" s="122">
        <f t="shared" si="20"/>
        <v>0</v>
      </c>
      <c r="L225" s="122">
        <v>0</v>
      </c>
      <c r="M225" s="122">
        <v>0</v>
      </c>
      <c r="N225" s="122">
        <v>0</v>
      </c>
      <c r="O225" s="122">
        <f t="shared" si="21"/>
        <v>2.5011693764025309</v>
      </c>
      <c r="P225" s="122">
        <f>H309</f>
        <v>0</v>
      </c>
      <c r="Q225" s="123">
        <f t="shared" si="23"/>
        <v>-2.5011693764025309</v>
      </c>
      <c r="R225" s="123">
        <f t="shared" si="23"/>
        <v>0</v>
      </c>
      <c r="S225" s="122">
        <f t="shared" si="24"/>
        <v>0</v>
      </c>
      <c r="T225" s="122">
        <f t="shared" si="25"/>
        <v>0</v>
      </c>
      <c r="U225" s="122">
        <f t="shared" si="26"/>
        <v>0</v>
      </c>
      <c r="V225" s="121">
        <f t="shared" si="27"/>
        <v>0</v>
      </c>
      <c r="W225" s="121">
        <f t="shared" si="28"/>
        <v>0</v>
      </c>
      <c r="X225" s="121">
        <f t="shared" si="29"/>
        <v>0</v>
      </c>
      <c r="Z225" s="120"/>
      <c r="AA225" s="120"/>
    </row>
    <row r="226" spans="1:30" s="341" customFormat="1" x14ac:dyDescent="0.25">
      <c r="B226" s="96">
        <v>20</v>
      </c>
      <c r="C226" s="125">
        <v>0</v>
      </c>
      <c r="D226" s="125">
        <f t="shared" si="30"/>
        <v>2760.7739999999999</v>
      </c>
      <c r="E226" s="126">
        <f t="shared" si="18"/>
        <v>0</v>
      </c>
      <c r="F226" s="125">
        <v>0</v>
      </c>
      <c r="G226" s="125">
        <v>0</v>
      </c>
      <c r="H226" s="125">
        <v>0</v>
      </c>
      <c r="I226" s="124">
        <f t="shared" si="19"/>
        <v>0</v>
      </c>
      <c r="J226" s="122">
        <f t="shared" si="19"/>
        <v>0</v>
      </c>
      <c r="K226" s="122">
        <f t="shared" si="20"/>
        <v>0</v>
      </c>
      <c r="L226" s="122">
        <v>0</v>
      </c>
      <c r="M226" s="122">
        <v>0</v>
      </c>
      <c r="N226" s="122">
        <v>0</v>
      </c>
      <c r="O226" s="122">
        <f t="shared" si="21"/>
        <v>2.5011693764025309</v>
      </c>
      <c r="P226" s="122">
        <f>H309</f>
        <v>0</v>
      </c>
      <c r="Q226" s="123">
        <f t="shared" si="23"/>
        <v>-2.5011693764025309</v>
      </c>
      <c r="R226" s="123">
        <f t="shared" si="23"/>
        <v>0</v>
      </c>
      <c r="S226" s="122">
        <f t="shared" si="24"/>
        <v>0</v>
      </c>
      <c r="T226" s="122">
        <f t="shared" si="25"/>
        <v>0</v>
      </c>
      <c r="U226" s="122">
        <f t="shared" si="26"/>
        <v>0</v>
      </c>
      <c r="V226" s="121">
        <f t="shared" si="27"/>
        <v>0</v>
      </c>
      <c r="W226" s="121">
        <f t="shared" si="28"/>
        <v>0</v>
      </c>
      <c r="X226" s="121">
        <f t="shared" si="29"/>
        <v>0</v>
      </c>
      <c r="Z226" s="120"/>
      <c r="AA226" s="120"/>
    </row>
    <row r="227" spans="1:30" s="341" customFormat="1" ht="15.75" thickBot="1" x14ac:dyDescent="0.3">
      <c r="B227" s="96">
        <v>21</v>
      </c>
      <c r="C227" s="125">
        <v>0</v>
      </c>
      <c r="D227" s="125">
        <f t="shared" si="30"/>
        <v>2760.7739999999999</v>
      </c>
      <c r="E227" s="126">
        <f t="shared" si="18"/>
        <v>0</v>
      </c>
      <c r="F227" s="125">
        <v>0</v>
      </c>
      <c r="G227" s="125">
        <v>0</v>
      </c>
      <c r="H227" s="125">
        <v>0</v>
      </c>
      <c r="I227" s="124">
        <f t="shared" si="19"/>
        <v>0</v>
      </c>
      <c r="J227" s="122">
        <f t="shared" si="19"/>
        <v>0</v>
      </c>
      <c r="K227" s="122">
        <f t="shared" si="20"/>
        <v>0</v>
      </c>
      <c r="L227" s="122">
        <v>0</v>
      </c>
      <c r="M227" s="122">
        <v>0</v>
      </c>
      <c r="N227" s="122">
        <v>0</v>
      </c>
      <c r="O227" s="122">
        <f t="shared" si="21"/>
        <v>2.5011693764025309</v>
      </c>
      <c r="P227" s="122">
        <f>H309</f>
        <v>0</v>
      </c>
      <c r="Q227" s="123">
        <f t="shared" si="23"/>
        <v>-2.5011693764025309</v>
      </c>
      <c r="R227" s="123">
        <f t="shared" si="23"/>
        <v>0</v>
      </c>
      <c r="S227" s="122">
        <f t="shared" si="24"/>
        <v>0</v>
      </c>
      <c r="T227" s="122">
        <f t="shared" si="25"/>
        <v>0</v>
      </c>
      <c r="U227" s="122">
        <f t="shared" si="26"/>
        <v>0</v>
      </c>
      <c r="V227" s="121">
        <f t="shared" si="27"/>
        <v>0</v>
      </c>
      <c r="W227" s="121">
        <f t="shared" si="28"/>
        <v>0</v>
      </c>
      <c r="X227" s="121">
        <f t="shared" si="29"/>
        <v>0</v>
      </c>
      <c r="Z227" s="120"/>
      <c r="AA227" s="120"/>
    </row>
    <row r="228" spans="1:30" s="341" customFormat="1" x14ac:dyDescent="0.25">
      <c r="A228" s="83">
        <f>AQ5</f>
        <v>1</v>
      </c>
      <c r="B228" s="473">
        <v>22</v>
      </c>
      <c r="C228" s="475">
        <v>2760.7739999999999</v>
      </c>
      <c r="D228" s="475">
        <f t="shared" si="30"/>
        <v>2760.7739999999999</v>
      </c>
      <c r="E228" s="476">
        <f t="shared" si="18"/>
        <v>1</v>
      </c>
      <c r="F228" s="477">
        <f>AT5</f>
        <v>5.5093804163296403</v>
      </c>
      <c r="G228" s="477">
        <f>AU5</f>
        <v>0</v>
      </c>
      <c r="H228" s="478">
        <f>AR5*AS5</f>
        <v>1.2867712133017902E-2</v>
      </c>
      <c r="I228" s="479">
        <f t="shared" si="19"/>
        <v>1.2867712133017902E-2</v>
      </c>
      <c r="J228" s="480">
        <f t="shared" si="19"/>
        <v>7.0893121228616129E-2</v>
      </c>
      <c r="K228" s="480">
        <f t="shared" si="20"/>
        <v>0</v>
      </c>
      <c r="L228" s="481">
        <f>AV5</f>
        <v>2.2242646753967014E-6</v>
      </c>
      <c r="M228" s="481">
        <f t="shared" ref="M228:N228" si="31">AW5</f>
        <v>8.5596575443660182E-5</v>
      </c>
      <c r="N228" s="481">
        <f t="shared" si="31"/>
        <v>0</v>
      </c>
      <c r="O228" s="480">
        <f t="shared" si="21"/>
        <v>2.5011693764025309</v>
      </c>
      <c r="P228" s="480">
        <f>H309</f>
        <v>0</v>
      </c>
      <c r="Q228" s="482">
        <f t="shared" si="23"/>
        <v>3.0082110399271094</v>
      </c>
      <c r="R228" s="482">
        <f t="shared" si="23"/>
        <v>0</v>
      </c>
      <c r="S228" s="480">
        <f t="shared" si="24"/>
        <v>0.11644422054202293</v>
      </c>
      <c r="T228" s="480">
        <f t="shared" si="25"/>
        <v>0</v>
      </c>
      <c r="U228" s="480">
        <f t="shared" si="26"/>
        <v>0</v>
      </c>
      <c r="V228" s="483">
        <f t="shared" si="27"/>
        <v>2.2242646753967014E-6</v>
      </c>
      <c r="W228" s="483">
        <f t="shared" si="28"/>
        <v>0.11652981711746659</v>
      </c>
      <c r="X228" s="484">
        <f t="shared" si="29"/>
        <v>0</v>
      </c>
      <c r="Z228" s="111"/>
      <c r="AA228" s="111"/>
    </row>
    <row r="229" spans="1:30" s="341" customFormat="1" x14ac:dyDescent="0.25">
      <c r="A229" s="77">
        <f t="shared" ref="A229:A244" si="32">AQ6</f>
        <v>2</v>
      </c>
      <c r="B229" s="340">
        <v>23</v>
      </c>
      <c r="C229" s="485">
        <v>2760.7739999999999</v>
      </c>
      <c r="D229" s="485">
        <f t="shared" si="30"/>
        <v>2760.7739999999999</v>
      </c>
      <c r="E229" s="486">
        <f t="shared" si="18"/>
        <v>1</v>
      </c>
      <c r="F229" s="373">
        <f t="shared" ref="F229:G229" si="33">AT6</f>
        <v>5.2268480872870953</v>
      </c>
      <c r="G229" s="373">
        <f t="shared" si="33"/>
        <v>0</v>
      </c>
      <c r="H229" s="487">
        <f t="shared" ref="H229:H244" si="34">AR6*AS6</f>
        <v>2.3117180109937796E-2</v>
      </c>
      <c r="I229" s="488">
        <f t="shared" si="19"/>
        <v>2.3117180109937796E-2</v>
      </c>
      <c r="J229" s="489">
        <f t="shared" si="19"/>
        <v>0.12082998864109966</v>
      </c>
      <c r="K229" s="489">
        <f t="shared" si="20"/>
        <v>0</v>
      </c>
      <c r="L229" s="152">
        <f t="shared" ref="L229:L244" si="35">AV6</f>
        <v>1.2896950258478691E-5</v>
      </c>
      <c r="M229" s="489">
        <f t="shared" ref="M229:M244" si="36">AW6</f>
        <v>1.5377647796826151E-4</v>
      </c>
      <c r="N229" s="489">
        <f t="shared" ref="N229:N244" si="37">AX6</f>
        <v>0</v>
      </c>
      <c r="O229" s="489">
        <f t="shared" si="21"/>
        <v>2.5011693764025309</v>
      </c>
      <c r="P229" s="489">
        <f>H309</f>
        <v>0</v>
      </c>
      <c r="Q229" s="490">
        <f t="shared" si="23"/>
        <v>2.7256787108845644</v>
      </c>
      <c r="R229" s="490">
        <f t="shared" si="23"/>
        <v>0</v>
      </c>
      <c r="S229" s="489">
        <f t="shared" si="24"/>
        <v>0.1717450310583481</v>
      </c>
      <c r="T229" s="489">
        <f t="shared" si="25"/>
        <v>0</v>
      </c>
      <c r="U229" s="489">
        <f t="shared" si="26"/>
        <v>0</v>
      </c>
      <c r="V229" s="491">
        <f t="shared" si="27"/>
        <v>1.2896950258478691E-5</v>
      </c>
      <c r="W229" s="491">
        <f t="shared" si="28"/>
        <v>0.17189880753631637</v>
      </c>
      <c r="X229" s="492">
        <f t="shared" si="29"/>
        <v>0</v>
      </c>
      <c r="Z229" s="111"/>
      <c r="AA229" s="111"/>
    </row>
    <row r="230" spans="1:30" s="341" customFormat="1" x14ac:dyDescent="0.25">
      <c r="A230" s="77">
        <f t="shared" si="32"/>
        <v>3</v>
      </c>
      <c r="B230" s="340">
        <v>24</v>
      </c>
      <c r="C230" s="485">
        <v>2760.7739999999999</v>
      </c>
      <c r="D230" s="485">
        <f t="shared" si="30"/>
        <v>2760.7739999999999</v>
      </c>
      <c r="E230" s="486">
        <f t="shared" si="18"/>
        <v>1</v>
      </c>
      <c r="F230" s="373">
        <f t="shared" ref="F230:G230" si="38">AT7</f>
        <v>4.8030495937232764</v>
      </c>
      <c r="G230" s="373">
        <f t="shared" si="38"/>
        <v>0</v>
      </c>
      <c r="H230" s="487">
        <f t="shared" si="34"/>
        <v>8.3783812995133947E-2</v>
      </c>
      <c r="I230" s="488">
        <f t="shared" si="19"/>
        <v>8.3783812995133947E-2</v>
      </c>
      <c r="J230" s="489">
        <f t="shared" si="19"/>
        <v>0.40241780896686508</v>
      </c>
      <c r="K230" s="489">
        <f t="shared" si="20"/>
        <v>0</v>
      </c>
      <c r="L230" s="152">
        <f t="shared" si="35"/>
        <v>1.5349803739741143E-4</v>
      </c>
      <c r="M230" s="489">
        <f t="shared" si="36"/>
        <v>2.2293341336393486E-3</v>
      </c>
      <c r="N230" s="489">
        <f t="shared" si="37"/>
        <v>0</v>
      </c>
      <c r="O230" s="489">
        <f t="shared" si="21"/>
        <v>2.5011693764025309</v>
      </c>
      <c r="P230" s="489">
        <f>H309</f>
        <v>0</v>
      </c>
      <c r="Q230" s="490">
        <f t="shared" si="23"/>
        <v>2.3018802173207455</v>
      </c>
      <c r="R230" s="490">
        <f t="shared" si="23"/>
        <v>0</v>
      </c>
      <c r="S230" s="489">
        <f t="shared" si="24"/>
        <v>0.44394131310963431</v>
      </c>
      <c r="T230" s="489">
        <f t="shared" si="25"/>
        <v>0</v>
      </c>
      <c r="U230" s="489">
        <f t="shared" si="26"/>
        <v>0</v>
      </c>
      <c r="V230" s="491">
        <f t="shared" si="27"/>
        <v>1.5349803739741143E-4</v>
      </c>
      <c r="W230" s="491">
        <f t="shared" si="28"/>
        <v>0.44617064724327365</v>
      </c>
      <c r="X230" s="492">
        <f t="shared" si="29"/>
        <v>0</v>
      </c>
      <c r="Z230" s="111"/>
      <c r="AA230" s="111"/>
    </row>
    <row r="231" spans="1:30" s="341" customFormat="1" x14ac:dyDescent="0.25">
      <c r="A231" s="77">
        <f t="shared" si="32"/>
        <v>4</v>
      </c>
      <c r="B231" s="340">
        <v>25</v>
      </c>
      <c r="C231" s="485">
        <v>2760.7739999999999</v>
      </c>
      <c r="D231" s="485">
        <f t="shared" si="30"/>
        <v>2760.7739999999999</v>
      </c>
      <c r="E231" s="486">
        <f t="shared" si="18"/>
        <v>1</v>
      </c>
      <c r="F231" s="373">
        <f t="shared" ref="F231:G231" si="39">AT8</f>
        <v>4.2379849356381847</v>
      </c>
      <c r="G231" s="373">
        <f t="shared" si="39"/>
        <v>0</v>
      </c>
      <c r="H231" s="487">
        <f t="shared" si="34"/>
        <v>0.11699081204808336</v>
      </c>
      <c r="I231" s="488">
        <f t="shared" si="19"/>
        <v>0.11699081204808336</v>
      </c>
      <c r="J231" s="489">
        <f t="shared" si="19"/>
        <v>0.49580529906785548</v>
      </c>
      <c r="K231" s="489">
        <f t="shared" si="20"/>
        <v>0</v>
      </c>
      <c r="L231" s="152">
        <f t="shared" si="35"/>
        <v>4.179051564987225E-4</v>
      </c>
      <c r="M231" s="489">
        <f t="shared" si="36"/>
        <v>3.1129116866061633E-3</v>
      </c>
      <c r="N231" s="489">
        <f t="shared" si="37"/>
        <v>0</v>
      </c>
      <c r="O231" s="489">
        <f t="shared" si="21"/>
        <v>2.5011693764025309</v>
      </c>
      <c r="P231" s="489">
        <f>H309</f>
        <v>0</v>
      </c>
      <c r="Q231" s="490">
        <f t="shared" si="23"/>
        <v>1.7368155592356538</v>
      </c>
      <c r="R231" s="490">
        <f t="shared" si="23"/>
        <v>0</v>
      </c>
      <c r="S231" s="489">
        <f t="shared" si="24"/>
        <v>0.35290609383910332</v>
      </c>
      <c r="T231" s="489">
        <f t="shared" si="25"/>
        <v>0</v>
      </c>
      <c r="U231" s="489">
        <f t="shared" si="26"/>
        <v>0</v>
      </c>
      <c r="V231" s="491">
        <f t="shared" si="27"/>
        <v>4.179051564987225E-4</v>
      </c>
      <c r="W231" s="491">
        <f t="shared" si="28"/>
        <v>0.35601900552570948</v>
      </c>
      <c r="X231" s="492">
        <f t="shared" si="29"/>
        <v>0</v>
      </c>
      <c r="Z231" s="111"/>
      <c r="AA231" s="111"/>
    </row>
    <row r="232" spans="1:30" s="341" customFormat="1" x14ac:dyDescent="0.25">
      <c r="A232" s="77">
        <f t="shared" si="32"/>
        <v>5</v>
      </c>
      <c r="B232" s="340">
        <v>26</v>
      </c>
      <c r="C232" s="485">
        <v>2760.7739999999999</v>
      </c>
      <c r="D232" s="485">
        <f t="shared" si="30"/>
        <v>2760.7739999999999</v>
      </c>
      <c r="E232" s="486">
        <f t="shared" si="18"/>
        <v>1</v>
      </c>
      <c r="F232" s="373">
        <f t="shared" ref="F232:G232" si="40">AT9</f>
        <v>3.6729202775530934</v>
      </c>
      <c r="G232" s="373">
        <f t="shared" si="40"/>
        <v>0</v>
      </c>
      <c r="H232" s="487">
        <f t="shared" si="34"/>
        <v>0.14572763815159706</v>
      </c>
      <c r="I232" s="488">
        <f t="shared" si="19"/>
        <v>0.14572763815159706</v>
      </c>
      <c r="J232" s="489">
        <f t="shared" si="19"/>
        <v>0.53524599716692067</v>
      </c>
      <c r="K232" s="489">
        <f t="shared" si="20"/>
        <v>0</v>
      </c>
      <c r="L232" s="152">
        <f t="shared" si="35"/>
        <v>8.0769657662460223E-4</v>
      </c>
      <c r="M232" s="489">
        <f t="shared" si="36"/>
        <v>3.8775461074428124E-3</v>
      </c>
      <c r="N232" s="489">
        <f t="shared" si="37"/>
        <v>0</v>
      </c>
      <c r="O232" s="489">
        <f t="shared" si="21"/>
        <v>2.5011693764025309</v>
      </c>
      <c r="P232" s="489">
        <f>H309</f>
        <v>0</v>
      </c>
      <c r="Q232" s="490">
        <f t="shared" si="23"/>
        <v>1.1717509011505625</v>
      </c>
      <c r="R232" s="490">
        <f t="shared" si="23"/>
        <v>0</v>
      </c>
      <c r="S232" s="489">
        <f t="shared" si="24"/>
        <v>0.20008407258934191</v>
      </c>
      <c r="T232" s="489">
        <f t="shared" si="25"/>
        <v>0</v>
      </c>
      <c r="U232" s="489">
        <f t="shared" si="26"/>
        <v>0</v>
      </c>
      <c r="V232" s="491">
        <f t="shared" si="27"/>
        <v>8.0769657662460223E-4</v>
      </c>
      <c r="W232" s="491">
        <f t="shared" si="28"/>
        <v>0.20396161869678472</v>
      </c>
      <c r="X232" s="492">
        <f t="shared" si="29"/>
        <v>0</v>
      </c>
      <c r="Z232" s="111"/>
      <c r="AA232" s="111"/>
    </row>
    <row r="233" spans="1:30" s="341" customFormat="1" x14ac:dyDescent="0.25">
      <c r="A233" s="77">
        <f t="shared" si="32"/>
        <v>6</v>
      </c>
      <c r="B233" s="340">
        <v>27</v>
      </c>
      <c r="C233" s="485">
        <v>2760.7739999999999</v>
      </c>
      <c r="D233" s="485">
        <f t="shared" si="30"/>
        <v>2760.7739999999999</v>
      </c>
      <c r="E233" s="486">
        <f t="shared" si="18"/>
        <v>1</v>
      </c>
      <c r="F233" s="373">
        <f t="shared" ref="F233:G233" si="41">AT10</f>
        <v>3.107855619468002</v>
      </c>
      <c r="G233" s="373">
        <f t="shared" si="41"/>
        <v>0</v>
      </c>
      <c r="H233" s="487">
        <f t="shared" si="34"/>
        <v>0.16903639710222512</v>
      </c>
      <c r="I233" s="488">
        <f t="shared" si="19"/>
        <v>0.16903639710222512</v>
      </c>
      <c r="J233" s="489">
        <f t="shared" si="19"/>
        <v>0.52534071662877502</v>
      </c>
      <c r="K233" s="489">
        <f t="shared" si="20"/>
        <v>0</v>
      </c>
      <c r="L233" s="152">
        <f t="shared" si="35"/>
        <v>1.2605589080735356E-3</v>
      </c>
      <c r="M233" s="489">
        <f t="shared" si="36"/>
        <v>4.4977495821214497E-3</v>
      </c>
      <c r="N233" s="489">
        <f t="shared" si="37"/>
        <v>0</v>
      </c>
      <c r="O233" s="489">
        <f t="shared" si="21"/>
        <v>2.5011693764025309</v>
      </c>
      <c r="P233" s="489">
        <f>H309</f>
        <v>0</v>
      </c>
      <c r="Q233" s="490">
        <f t="shared" si="23"/>
        <v>0.60668624306547114</v>
      </c>
      <c r="R233" s="490">
        <f t="shared" si="23"/>
        <v>0</v>
      </c>
      <c r="S233" s="489">
        <f t="shared" si="24"/>
        <v>6.2216921997518548E-2</v>
      </c>
      <c r="T233" s="489">
        <f t="shared" si="25"/>
        <v>0</v>
      </c>
      <c r="U233" s="489">
        <f t="shared" si="26"/>
        <v>0</v>
      </c>
      <c r="V233" s="491">
        <f t="shared" si="27"/>
        <v>1.2605589080735356E-3</v>
      </c>
      <c r="W233" s="491">
        <f t="shared" si="28"/>
        <v>6.6714671579639992E-2</v>
      </c>
      <c r="X233" s="492">
        <f t="shared" si="29"/>
        <v>0</v>
      </c>
      <c r="Z233" s="111"/>
      <c r="AA233" s="111"/>
    </row>
    <row r="234" spans="1:30" s="341" customFormat="1" x14ac:dyDescent="0.25">
      <c r="A234" s="77">
        <f t="shared" si="32"/>
        <v>7</v>
      </c>
      <c r="B234" s="340">
        <v>28</v>
      </c>
      <c r="C234" s="485">
        <v>2760.7739999999999</v>
      </c>
      <c r="D234" s="485">
        <f t="shared" si="30"/>
        <v>2760.7739999999999</v>
      </c>
      <c r="E234" s="486">
        <f t="shared" si="18"/>
        <v>1</v>
      </c>
      <c r="F234" s="373">
        <f t="shared" ref="F234:G234" si="42">AT11</f>
        <v>2.5427909613829112</v>
      </c>
      <c r="G234" s="373">
        <f t="shared" si="42"/>
        <v>0</v>
      </c>
      <c r="H234" s="487">
        <f t="shared" si="34"/>
        <v>0.18532059856088301</v>
      </c>
      <c r="I234" s="488">
        <f t="shared" si="19"/>
        <v>0.18532059856088301</v>
      </c>
      <c r="J234" s="489">
        <f t="shared" si="19"/>
        <v>0.47123154297868425</v>
      </c>
      <c r="K234" s="489">
        <f t="shared" si="20"/>
        <v>0</v>
      </c>
      <c r="L234" s="152">
        <f t="shared" si="35"/>
        <v>1.6610914629382901E-3</v>
      </c>
      <c r="M234" s="489">
        <f t="shared" si="36"/>
        <v>4.9310424205955593E-3</v>
      </c>
      <c r="N234" s="489">
        <f t="shared" si="37"/>
        <v>0</v>
      </c>
      <c r="O234" s="489">
        <f t="shared" si="21"/>
        <v>2.5011693764025309</v>
      </c>
      <c r="P234" s="489">
        <f>H309</f>
        <v>0</v>
      </c>
      <c r="Q234" s="490">
        <f t="shared" si="23"/>
        <v>4.1621584980380266E-2</v>
      </c>
      <c r="R234" s="490">
        <f t="shared" si="23"/>
        <v>0</v>
      </c>
      <c r="S234" s="489">
        <f t="shared" si="24"/>
        <v>3.2104131315996562E-4</v>
      </c>
      <c r="T234" s="489">
        <f t="shared" si="25"/>
        <v>0</v>
      </c>
      <c r="U234" s="489">
        <f t="shared" si="26"/>
        <v>0</v>
      </c>
      <c r="V234" s="491">
        <f t="shared" si="27"/>
        <v>1.6610914629382901E-3</v>
      </c>
      <c r="W234" s="491">
        <f t="shared" si="28"/>
        <v>5.2520837337555245E-3</v>
      </c>
      <c r="X234" s="492">
        <f t="shared" si="29"/>
        <v>0</v>
      </c>
      <c r="Z234" s="111"/>
      <c r="AA234" s="111"/>
    </row>
    <row r="235" spans="1:30" s="341" customFormat="1" x14ac:dyDescent="0.25">
      <c r="A235" s="77">
        <f>AQ12</f>
        <v>8</v>
      </c>
      <c r="B235" s="340">
        <v>29</v>
      </c>
      <c r="C235" s="485">
        <v>2760.7739999999999</v>
      </c>
      <c r="D235" s="485">
        <f t="shared" si="30"/>
        <v>2760.7739999999999</v>
      </c>
      <c r="E235" s="486">
        <f t="shared" si="18"/>
        <v>1</v>
      </c>
      <c r="F235" s="373">
        <f t="shared" ref="F235:G241" si="43">AT12</f>
        <v>1.9777263032978196</v>
      </c>
      <c r="G235" s="373">
        <f t="shared" si="43"/>
        <v>0</v>
      </c>
      <c r="H235" s="487">
        <f t="shared" si="34"/>
        <v>0.19164270030365604</v>
      </c>
      <c r="I235" s="488">
        <f t="shared" si="19"/>
        <v>0.19164270030365604</v>
      </c>
      <c r="J235" s="489">
        <f t="shared" si="19"/>
        <v>0.37901680922556158</v>
      </c>
      <c r="K235" s="489">
        <f t="shared" si="20"/>
        <v>0</v>
      </c>
      <c r="L235" s="152">
        <f t="shared" si="35"/>
        <v>1.8369583443935079E-3</v>
      </c>
      <c r="M235" s="489">
        <f t="shared" si="36"/>
        <v>5.0992619931796252E-3</v>
      </c>
      <c r="N235" s="489">
        <f t="shared" si="37"/>
        <v>0</v>
      </c>
      <c r="O235" s="489">
        <f t="shared" si="21"/>
        <v>2.5011693764025309</v>
      </c>
      <c r="P235" s="489">
        <f>H309</f>
        <v>0</v>
      </c>
      <c r="Q235" s="490">
        <f t="shared" si="23"/>
        <v>-0.52344307310471128</v>
      </c>
      <c r="R235" s="490">
        <f t="shared" si="23"/>
        <v>0</v>
      </c>
      <c r="S235" s="489">
        <f t="shared" si="24"/>
        <v>5.2508691459085759E-2</v>
      </c>
      <c r="T235" s="489">
        <f t="shared" si="25"/>
        <v>0</v>
      </c>
      <c r="U235" s="489">
        <f t="shared" si="26"/>
        <v>0</v>
      </c>
      <c r="V235" s="491">
        <f t="shared" si="27"/>
        <v>1.8369583443935079E-3</v>
      </c>
      <c r="W235" s="491">
        <f t="shared" si="28"/>
        <v>5.7607953452265381E-2</v>
      </c>
      <c r="X235" s="492">
        <f t="shared" si="29"/>
        <v>0</v>
      </c>
      <c r="Z235" s="111"/>
      <c r="AA235" s="111"/>
      <c r="AC235" s="136"/>
      <c r="AD235" s="136"/>
    </row>
    <row r="236" spans="1:30" s="341" customFormat="1" x14ac:dyDescent="0.25">
      <c r="A236" s="77">
        <f t="shared" si="32"/>
        <v>9</v>
      </c>
      <c r="B236" s="340">
        <v>30</v>
      </c>
      <c r="C236" s="485">
        <v>2760.7739999999999</v>
      </c>
      <c r="D236" s="485">
        <f t="shared" si="30"/>
        <v>2760.7739999999999</v>
      </c>
      <c r="E236" s="486">
        <f t="shared" si="18"/>
        <v>1</v>
      </c>
      <c r="F236" s="373">
        <f t="shared" si="43"/>
        <v>1.553927809734001</v>
      </c>
      <c r="G236" s="373">
        <f t="shared" si="43"/>
        <v>0</v>
      </c>
      <c r="H236" s="487">
        <f t="shared" si="34"/>
        <v>9.4863455948377556E-2</v>
      </c>
      <c r="I236" s="488">
        <f t="shared" si="19"/>
        <v>9.4863455948377556E-2</v>
      </c>
      <c r="J236" s="489">
        <f t="shared" si="19"/>
        <v>0.14741096232566023</v>
      </c>
      <c r="K236" s="489">
        <f t="shared" si="20"/>
        <v>0</v>
      </c>
      <c r="L236" s="152">
        <f t="shared" si="35"/>
        <v>8.9120842134832298E-4</v>
      </c>
      <c r="M236" s="489">
        <f t="shared" si="36"/>
        <v>6.3103579564048097E-4</v>
      </c>
      <c r="N236" s="489">
        <f t="shared" si="37"/>
        <v>0</v>
      </c>
      <c r="O236" s="489">
        <f t="shared" si="21"/>
        <v>2.5011693764025309</v>
      </c>
      <c r="P236" s="489">
        <f>H309</f>
        <v>0</v>
      </c>
      <c r="Q236" s="490">
        <f t="shared" si="23"/>
        <v>-0.94724156666852988</v>
      </c>
      <c r="R236" s="490">
        <f t="shared" si="23"/>
        <v>0</v>
      </c>
      <c r="S236" s="489">
        <f t="shared" si="24"/>
        <v>8.5117809219355203E-2</v>
      </c>
      <c r="T236" s="489">
        <f t="shared" si="25"/>
        <v>0</v>
      </c>
      <c r="U236" s="489">
        <f t="shared" si="26"/>
        <v>0</v>
      </c>
      <c r="V236" s="491">
        <f t="shared" si="27"/>
        <v>8.9120842134832298E-4</v>
      </c>
      <c r="W236" s="491">
        <f t="shared" si="28"/>
        <v>8.5748845014995689E-2</v>
      </c>
      <c r="X236" s="492">
        <f t="shared" si="29"/>
        <v>0</v>
      </c>
      <c r="Z236" s="111"/>
      <c r="AA236" s="111"/>
    </row>
    <row r="237" spans="1:30" s="341" customFormat="1" x14ac:dyDescent="0.25">
      <c r="A237" s="77">
        <f t="shared" si="32"/>
        <v>10</v>
      </c>
      <c r="B237" s="340">
        <v>31</v>
      </c>
      <c r="C237" s="485">
        <v>2760.7739999999999</v>
      </c>
      <c r="D237" s="485">
        <f t="shared" si="30"/>
        <v>2760.7739999999999</v>
      </c>
      <c r="E237" s="486">
        <f t="shared" si="18"/>
        <v>1</v>
      </c>
      <c r="F237" s="373">
        <f t="shared" si="43"/>
        <v>1.2713954806914556</v>
      </c>
      <c r="G237" s="373">
        <f t="shared" si="43"/>
        <v>0</v>
      </c>
      <c r="H237" s="487">
        <f t="shared" si="34"/>
        <v>9.1606615656646004E-2</v>
      </c>
      <c r="I237" s="488">
        <f t="shared" si="19"/>
        <v>9.1606615656646004E-2</v>
      </c>
      <c r="J237" s="489">
        <f t="shared" si="19"/>
        <v>0.11646823714729887</v>
      </c>
      <c r="K237" s="489">
        <f t="shared" si="20"/>
        <v>0</v>
      </c>
      <c r="L237" s="152">
        <f t="shared" si="35"/>
        <v>8.0253313199976455E-4</v>
      </c>
      <c r="M237" s="489">
        <f t="shared" si="36"/>
        <v>6.0937115371677557E-4</v>
      </c>
      <c r="N237" s="489">
        <f t="shared" si="37"/>
        <v>0</v>
      </c>
      <c r="O237" s="489">
        <f t="shared" si="21"/>
        <v>2.5011693764025309</v>
      </c>
      <c r="P237" s="489">
        <f>H309</f>
        <v>0</v>
      </c>
      <c r="Q237" s="490">
        <f t="shared" si="23"/>
        <v>-1.2297738957110753</v>
      </c>
      <c r="R237" s="490">
        <f t="shared" si="23"/>
        <v>0</v>
      </c>
      <c r="S237" s="489">
        <f t="shared" si="24"/>
        <v>0.13854070039437158</v>
      </c>
      <c r="T237" s="489">
        <f t="shared" si="25"/>
        <v>0</v>
      </c>
      <c r="U237" s="489">
        <f t="shared" si="26"/>
        <v>0</v>
      </c>
      <c r="V237" s="491">
        <f t="shared" si="27"/>
        <v>8.0253313199976455E-4</v>
      </c>
      <c r="W237" s="491">
        <f t="shared" si="28"/>
        <v>0.13915007154808837</v>
      </c>
      <c r="X237" s="492">
        <f t="shared" si="29"/>
        <v>0</v>
      </c>
      <c r="Z237" s="111"/>
      <c r="AA237" s="111"/>
    </row>
    <row r="238" spans="1:30" s="341" customFormat="1" x14ac:dyDescent="0.25">
      <c r="A238" s="77">
        <f t="shared" si="32"/>
        <v>11</v>
      </c>
      <c r="B238" s="340">
        <v>32</v>
      </c>
      <c r="C238" s="485">
        <v>2760.7739999999999</v>
      </c>
      <c r="D238" s="485">
        <f t="shared" si="30"/>
        <v>2760.7739999999999</v>
      </c>
      <c r="E238" s="486">
        <f t="shared" si="18"/>
        <v>1</v>
      </c>
      <c r="F238" s="373">
        <f t="shared" si="43"/>
        <v>0.98886315164890981</v>
      </c>
      <c r="G238" s="373">
        <f t="shared" si="43"/>
        <v>0</v>
      </c>
      <c r="H238" s="487">
        <f t="shared" si="34"/>
        <v>8.5348373527436294E-2</v>
      </c>
      <c r="I238" s="488">
        <f t="shared" si="19"/>
        <v>8.5348373527436294E-2</v>
      </c>
      <c r="J238" s="489">
        <f t="shared" si="19"/>
        <v>8.439786163444904E-2</v>
      </c>
      <c r="K238" s="489">
        <f t="shared" si="20"/>
        <v>0</v>
      </c>
      <c r="L238" s="152">
        <f t="shared" si="35"/>
        <v>6.4903512736269001E-4</v>
      </c>
      <c r="M238" s="489">
        <f t="shared" si="36"/>
        <v>5.6774105747122371E-4</v>
      </c>
      <c r="N238" s="489">
        <f t="shared" si="37"/>
        <v>0</v>
      </c>
      <c r="O238" s="489">
        <f t="shared" si="21"/>
        <v>2.5011693764025309</v>
      </c>
      <c r="P238" s="489">
        <f>H309</f>
        <v>0</v>
      </c>
      <c r="Q238" s="490">
        <f t="shared" si="23"/>
        <v>-1.5123062247536212</v>
      </c>
      <c r="R238" s="490">
        <f t="shared" si="23"/>
        <v>0</v>
      </c>
      <c r="S238" s="489">
        <f t="shared" si="24"/>
        <v>0.19519771466572949</v>
      </c>
      <c r="T238" s="489">
        <f t="shared" si="25"/>
        <v>0</v>
      </c>
      <c r="U238" s="489">
        <f t="shared" si="26"/>
        <v>0</v>
      </c>
      <c r="V238" s="491">
        <f t="shared" si="27"/>
        <v>6.4903512736269001E-4</v>
      </c>
      <c r="W238" s="491">
        <f t="shared" si="28"/>
        <v>0.19576545572320073</v>
      </c>
      <c r="X238" s="492">
        <f t="shared" si="29"/>
        <v>0</v>
      </c>
      <c r="Z238" s="111"/>
      <c r="AA238" s="111"/>
    </row>
    <row r="239" spans="1:30" s="341" customFormat="1" x14ac:dyDescent="0.25">
      <c r="A239" s="77">
        <f t="shared" si="32"/>
        <v>12</v>
      </c>
      <c r="B239" s="340">
        <v>33</v>
      </c>
      <c r="C239" s="485">
        <v>2760.7739999999999</v>
      </c>
      <c r="D239" s="485">
        <f t="shared" si="30"/>
        <v>2760.7739999999999</v>
      </c>
      <c r="E239" s="486">
        <f t="shared" si="18"/>
        <v>1</v>
      </c>
      <c r="F239" s="373">
        <f t="shared" si="43"/>
        <v>0.70633082260636415</v>
      </c>
      <c r="G239" s="373">
        <f t="shared" si="43"/>
        <v>0</v>
      </c>
      <c r="H239" s="487">
        <f t="shared" si="34"/>
        <v>7.4747677675917834E-2</v>
      </c>
      <c r="I239" s="488">
        <f t="shared" ref="I239:J270" si="44">H239*E239</f>
        <v>7.4747677675917834E-2</v>
      </c>
      <c r="J239" s="489">
        <f t="shared" si="44"/>
        <v>5.2796588660746407E-2</v>
      </c>
      <c r="K239" s="489">
        <f t="shared" si="20"/>
        <v>0</v>
      </c>
      <c r="L239" s="152">
        <f t="shared" si="35"/>
        <v>4.3598903531014469E-4</v>
      </c>
      <c r="M239" s="489">
        <f t="shared" si="36"/>
        <v>4.9722477199406459E-4</v>
      </c>
      <c r="N239" s="489">
        <f t="shared" si="37"/>
        <v>0</v>
      </c>
      <c r="O239" s="489">
        <f t="shared" si="21"/>
        <v>2.5011693764025309</v>
      </c>
      <c r="P239" s="489">
        <f t="shared" ref="P239:P301" si="45">H$309</f>
        <v>0</v>
      </c>
      <c r="Q239" s="490">
        <f t="shared" ref="Q239:R270" si="46">F239-O239</f>
        <v>-1.7948385537961666</v>
      </c>
      <c r="R239" s="490">
        <f t="shared" si="46"/>
        <v>0</v>
      </c>
      <c r="S239" s="489">
        <f t="shared" si="24"/>
        <v>0.24079556496562413</v>
      </c>
      <c r="T239" s="489">
        <f t="shared" si="25"/>
        <v>0</v>
      </c>
      <c r="U239" s="489">
        <f>H239*Q239*R239</f>
        <v>0</v>
      </c>
      <c r="V239" s="491">
        <f t="shared" si="27"/>
        <v>4.3598903531014469E-4</v>
      </c>
      <c r="W239" s="491">
        <f t="shared" si="28"/>
        <v>0.2412927897376182</v>
      </c>
      <c r="X239" s="492">
        <f t="shared" si="29"/>
        <v>0</v>
      </c>
      <c r="Z239" s="111"/>
      <c r="AA239" s="111"/>
    </row>
    <row r="240" spans="1:30" s="341" customFormat="1" x14ac:dyDescent="0.25">
      <c r="A240" s="77">
        <f>AQ17</f>
        <v>13</v>
      </c>
      <c r="B240" s="340">
        <v>34</v>
      </c>
      <c r="C240" s="485">
        <v>2760.7739999999999</v>
      </c>
      <c r="D240" s="485">
        <f t="shared" si="30"/>
        <v>2760.7739999999999</v>
      </c>
      <c r="E240" s="486">
        <f t="shared" si="18"/>
        <v>1</v>
      </c>
      <c r="F240" s="373">
        <f t="shared" si="43"/>
        <v>0.49443157582445491</v>
      </c>
      <c r="G240" s="373">
        <f t="shared" si="43"/>
        <v>0</v>
      </c>
      <c r="H240" s="487">
        <f t="shared" si="34"/>
        <v>3.352629712076622E-2</v>
      </c>
      <c r="I240" s="488">
        <f t="shared" si="44"/>
        <v>3.352629712076622E-2</v>
      </c>
      <c r="J240" s="489">
        <f t="shared" si="44"/>
        <v>1.6576459916979328E-2</v>
      </c>
      <c r="K240" s="489">
        <f t="shared" si="20"/>
        <v>0</v>
      </c>
      <c r="L240" s="152">
        <f t="shared" si="35"/>
        <v>1.5736176380818563E-4</v>
      </c>
      <c r="M240" s="489">
        <f t="shared" si="36"/>
        <v>5.5754593186006813E-5</v>
      </c>
      <c r="N240" s="489">
        <f t="shared" si="37"/>
        <v>0</v>
      </c>
      <c r="O240" s="489">
        <f t="shared" si="21"/>
        <v>2.5011693764025309</v>
      </c>
      <c r="P240" s="489">
        <f t="shared" si="45"/>
        <v>0</v>
      </c>
      <c r="Q240" s="490">
        <f t="shared" si="46"/>
        <v>-2.006737800578076</v>
      </c>
      <c r="R240" s="490">
        <f t="shared" si="46"/>
        <v>0</v>
      </c>
      <c r="S240" s="489">
        <f t="shared" si="24"/>
        <v>0.13501028452493172</v>
      </c>
      <c r="T240" s="489">
        <f t="shared" si="25"/>
        <v>0</v>
      </c>
      <c r="U240" s="489">
        <f t="shared" ref="U240:U301" si="47">H240*Q240*R240</f>
        <v>0</v>
      </c>
      <c r="V240" s="491">
        <f t="shared" si="27"/>
        <v>1.5736176380818563E-4</v>
      </c>
      <c r="W240" s="491">
        <f t="shared" si="28"/>
        <v>0.13506603911811774</v>
      </c>
      <c r="X240" s="492">
        <f t="shared" si="29"/>
        <v>0</v>
      </c>
      <c r="Z240" s="111"/>
      <c r="AA240" s="111"/>
    </row>
    <row r="241" spans="1:27" s="341" customFormat="1" x14ac:dyDescent="0.25">
      <c r="A241" s="77">
        <f t="shared" si="32"/>
        <v>14</v>
      </c>
      <c r="B241" s="340">
        <v>35</v>
      </c>
      <c r="C241" s="485">
        <v>2760.7739999999999</v>
      </c>
      <c r="D241" s="485">
        <f t="shared" si="30"/>
        <v>2760.7739999999999</v>
      </c>
      <c r="E241" s="486">
        <f t="shared" si="18"/>
        <v>1</v>
      </c>
      <c r="F241" s="373">
        <f t="shared" si="43"/>
        <v>0.35316541130318208</v>
      </c>
      <c r="G241" s="373">
        <f t="shared" si="43"/>
        <v>0</v>
      </c>
      <c r="H241" s="487">
        <f t="shared" si="34"/>
        <v>2.8369633325524564E-2</v>
      </c>
      <c r="I241" s="488">
        <f t="shared" si="44"/>
        <v>2.8369633325524564E-2</v>
      </c>
      <c r="J241" s="489">
        <f t="shared" si="44"/>
        <v>1.0019173221929344E-2</v>
      </c>
      <c r="K241" s="489">
        <f t="shared" si="20"/>
        <v>0</v>
      </c>
      <c r="L241" s="152">
        <f t="shared" si="35"/>
        <v>9.5346249390594484E-5</v>
      </c>
      <c r="M241" s="489">
        <f t="shared" si="36"/>
        <v>4.7179005757873402E-5</v>
      </c>
      <c r="N241" s="489">
        <f t="shared" si="37"/>
        <v>0</v>
      </c>
      <c r="O241" s="489">
        <f t="shared" si="21"/>
        <v>2.5011693764025309</v>
      </c>
      <c r="P241" s="489">
        <f t="shared" si="45"/>
        <v>0</v>
      </c>
      <c r="Q241" s="490">
        <f t="shared" si="46"/>
        <v>-2.148003965099349</v>
      </c>
      <c r="R241" s="490">
        <f t="shared" si="46"/>
        <v>0</v>
      </c>
      <c r="S241" s="489">
        <f t="shared" si="24"/>
        <v>0.13089524792984639</v>
      </c>
      <c r="T241" s="489">
        <f t="shared" si="25"/>
        <v>0</v>
      </c>
      <c r="U241" s="489">
        <f t="shared" si="47"/>
        <v>0</v>
      </c>
      <c r="V241" s="491">
        <f t="shared" si="27"/>
        <v>9.5346249390594484E-5</v>
      </c>
      <c r="W241" s="491">
        <f t="shared" si="28"/>
        <v>0.13094242693560426</v>
      </c>
      <c r="X241" s="492">
        <f t="shared" si="29"/>
        <v>0</v>
      </c>
      <c r="Z241" s="111"/>
      <c r="AA241" s="111"/>
    </row>
    <row r="242" spans="1:27" s="341" customFormat="1" x14ac:dyDescent="0.25">
      <c r="A242" s="77">
        <f t="shared" si="32"/>
        <v>15</v>
      </c>
      <c r="B242" s="340">
        <v>36</v>
      </c>
      <c r="C242" s="485">
        <v>2760.7739999999999</v>
      </c>
      <c r="D242" s="485">
        <f t="shared" si="30"/>
        <v>2760.7739999999999</v>
      </c>
      <c r="E242" s="486">
        <f t="shared" si="18"/>
        <v>1</v>
      </c>
      <c r="F242" s="373">
        <f t="shared" ref="F242:G244" si="48">AT19</f>
        <v>0.21189924678190925</v>
      </c>
      <c r="G242" s="373">
        <f t="shared" si="48"/>
        <v>0</v>
      </c>
      <c r="H242" s="487">
        <f t="shared" si="34"/>
        <v>2.0866128731829262E-2</v>
      </c>
      <c r="I242" s="488">
        <f t="shared" si="44"/>
        <v>2.0866128731829262E-2</v>
      </c>
      <c r="J242" s="489">
        <f t="shared" si="44"/>
        <v>4.4215169615289757E-3</v>
      </c>
      <c r="K242" s="489">
        <f t="shared" si="20"/>
        <v>0</v>
      </c>
      <c r="L242" s="152">
        <f t="shared" si="35"/>
        <v>3.7937446268468312E-5</v>
      </c>
      <c r="M242" s="489">
        <f t="shared" si="36"/>
        <v>3.4700596806719478E-5</v>
      </c>
      <c r="N242" s="489">
        <f t="shared" si="37"/>
        <v>0</v>
      </c>
      <c r="O242" s="489">
        <f t="shared" si="21"/>
        <v>2.5011693764025309</v>
      </c>
      <c r="P242" s="489">
        <f t="shared" si="45"/>
        <v>0</v>
      </c>
      <c r="Q242" s="490">
        <f t="shared" si="46"/>
        <v>-2.2892701296206215</v>
      </c>
      <c r="R242" s="490">
        <f t="shared" si="46"/>
        <v>0</v>
      </c>
      <c r="S242" s="489">
        <f t="shared" si="24"/>
        <v>0.10935432537083238</v>
      </c>
      <c r="T242" s="489">
        <f t="shared" si="25"/>
        <v>0</v>
      </c>
      <c r="U242" s="489">
        <f t="shared" si="47"/>
        <v>0</v>
      </c>
      <c r="V242" s="491">
        <f t="shared" si="27"/>
        <v>3.7937446268468312E-5</v>
      </c>
      <c r="W242" s="491">
        <f t="shared" si="28"/>
        <v>0.10938902596763909</v>
      </c>
      <c r="X242" s="492">
        <f t="shared" si="29"/>
        <v>0</v>
      </c>
      <c r="Z242" s="111"/>
      <c r="AA242" s="111"/>
    </row>
    <row r="243" spans="1:27" s="341" customFormat="1" x14ac:dyDescent="0.25">
      <c r="A243" s="77">
        <f>AQ20</f>
        <v>16</v>
      </c>
      <c r="B243" s="340">
        <v>37</v>
      </c>
      <c r="C243" s="485">
        <v>2760.7739999999999</v>
      </c>
      <c r="D243" s="485">
        <f t="shared" si="30"/>
        <v>2760.7739999999999</v>
      </c>
      <c r="E243" s="486">
        <f t="shared" si="18"/>
        <v>1</v>
      </c>
      <c r="F243" s="373">
        <f t="shared" si="48"/>
        <v>0.10594962339095462</v>
      </c>
      <c r="G243" s="373">
        <f t="shared" si="48"/>
        <v>0</v>
      </c>
      <c r="H243" s="487">
        <f t="shared" si="34"/>
        <v>7.5593817555632391E-3</v>
      </c>
      <c r="I243" s="488">
        <f t="shared" si="44"/>
        <v>7.5593817555632391E-3</v>
      </c>
      <c r="J243" s="489">
        <f t="shared" si="44"/>
        <v>8.009136500703786E-4</v>
      </c>
      <c r="K243" s="489">
        <f t="shared" si="20"/>
        <v>0</v>
      </c>
      <c r="L243" s="152">
        <f t="shared" si="35"/>
        <v>7.2154142856594944E-6</v>
      </c>
      <c r="M243" s="489">
        <f t="shared" si="36"/>
        <v>3.1428333182826457E-6</v>
      </c>
      <c r="N243" s="489">
        <f t="shared" si="37"/>
        <v>0</v>
      </c>
      <c r="O243" s="489">
        <f t="shared" si="21"/>
        <v>2.5011693764025309</v>
      </c>
      <c r="P243" s="489">
        <f t="shared" si="45"/>
        <v>0</v>
      </c>
      <c r="Q243" s="490">
        <f t="shared" si="46"/>
        <v>-2.3952197530115762</v>
      </c>
      <c r="R243" s="490">
        <f t="shared" si="46"/>
        <v>0</v>
      </c>
      <c r="S243" s="489">
        <f t="shared" si="24"/>
        <v>4.3368760232689499E-2</v>
      </c>
      <c r="T243" s="489">
        <f t="shared" si="25"/>
        <v>0</v>
      </c>
      <c r="U243" s="489">
        <f t="shared" si="47"/>
        <v>0</v>
      </c>
      <c r="V243" s="491">
        <f t="shared" si="27"/>
        <v>7.2154142856594944E-6</v>
      </c>
      <c r="W243" s="491">
        <f t="shared" si="28"/>
        <v>4.3371903066007779E-2</v>
      </c>
      <c r="X243" s="492">
        <f t="shared" si="29"/>
        <v>0</v>
      </c>
      <c r="Z243" s="111"/>
      <c r="AA243" s="111"/>
    </row>
    <row r="244" spans="1:27" s="341" customFormat="1" ht="15.75" thickBot="1" x14ac:dyDescent="0.3">
      <c r="A244" s="75">
        <f t="shared" si="32"/>
        <v>17</v>
      </c>
      <c r="B244" s="493">
        <v>38</v>
      </c>
      <c r="C244" s="494">
        <v>2760.7739999999999</v>
      </c>
      <c r="D244" s="494">
        <f t="shared" si="30"/>
        <v>2760.7739999999999</v>
      </c>
      <c r="E244" s="495">
        <f t="shared" si="18"/>
        <v>1</v>
      </c>
      <c r="F244" s="496">
        <f t="shared" si="48"/>
        <v>3.5316541130318208E-2</v>
      </c>
      <c r="G244" s="496">
        <f t="shared" si="48"/>
        <v>0</v>
      </c>
      <c r="H244" s="497">
        <f t="shared" si="34"/>
        <v>7.5593817555632391E-3</v>
      </c>
      <c r="I244" s="498">
        <f t="shared" si="44"/>
        <v>7.5593817555632391E-3</v>
      </c>
      <c r="J244" s="499">
        <f t="shared" si="44"/>
        <v>2.669712166901262E-4</v>
      </c>
      <c r="K244" s="499">
        <f t="shared" si="20"/>
        <v>0</v>
      </c>
      <c r="L244" s="147">
        <f t="shared" si="35"/>
        <v>7.2154142856594944E-6</v>
      </c>
      <c r="M244" s="499">
        <f t="shared" si="36"/>
        <v>3.1428333182826457E-6</v>
      </c>
      <c r="N244" s="499">
        <f t="shared" si="37"/>
        <v>0</v>
      </c>
      <c r="O244" s="499">
        <f t="shared" si="21"/>
        <v>2.5011693764025309</v>
      </c>
      <c r="P244" s="499">
        <f t="shared" si="45"/>
        <v>0</v>
      </c>
      <c r="Q244" s="500">
        <f t="shared" si="46"/>
        <v>-2.4658528352722127</v>
      </c>
      <c r="R244" s="500">
        <f t="shared" si="46"/>
        <v>0</v>
      </c>
      <c r="S244" s="499">
        <f t="shared" si="24"/>
        <v>4.5964293159315786E-2</v>
      </c>
      <c r="T244" s="499">
        <f t="shared" si="25"/>
        <v>0</v>
      </c>
      <c r="U244" s="499">
        <f t="shared" si="47"/>
        <v>0</v>
      </c>
      <c r="V244" s="501">
        <f t="shared" si="27"/>
        <v>7.2154142856594944E-6</v>
      </c>
      <c r="W244" s="501">
        <f t="shared" si="28"/>
        <v>4.5967435992634066E-2</v>
      </c>
      <c r="X244" s="502">
        <f t="shared" si="29"/>
        <v>0</v>
      </c>
      <c r="Z244" s="111"/>
      <c r="AA244" s="111"/>
    </row>
    <row r="245" spans="1:27" s="341" customFormat="1" x14ac:dyDescent="0.25">
      <c r="A245" s="474"/>
      <c r="B245" s="96">
        <v>39</v>
      </c>
      <c r="C245" s="119">
        <v>2760.7739999999999</v>
      </c>
      <c r="D245" s="119">
        <f t="shared" si="30"/>
        <v>2760.7739999999999</v>
      </c>
      <c r="E245" s="118">
        <f t="shared" si="18"/>
        <v>1</v>
      </c>
      <c r="F245" s="117">
        <v>0</v>
      </c>
      <c r="G245" s="117">
        <v>0</v>
      </c>
      <c r="H245" s="116">
        <v>0</v>
      </c>
      <c r="I245" s="115">
        <f t="shared" si="44"/>
        <v>0</v>
      </c>
      <c r="J245" s="113">
        <f t="shared" si="44"/>
        <v>0</v>
      </c>
      <c r="K245" s="113">
        <f t="shared" si="20"/>
        <v>0</v>
      </c>
      <c r="L245" s="111">
        <f>(ABS(D134-D133)*ABS(E134-N134)^3)/12</f>
        <v>0</v>
      </c>
      <c r="M245" s="113">
        <f>((ABS(D134-D133)^3)*ABS(E134-N134))/12</f>
        <v>0</v>
      </c>
      <c r="N245" s="113">
        <v>0</v>
      </c>
      <c r="O245" s="113">
        <f t="shared" si="21"/>
        <v>2.5011693764025309</v>
      </c>
      <c r="P245" s="113">
        <f t="shared" si="45"/>
        <v>0</v>
      </c>
      <c r="Q245" s="114">
        <f t="shared" si="46"/>
        <v>-2.5011693764025309</v>
      </c>
      <c r="R245" s="114">
        <f t="shared" si="46"/>
        <v>0</v>
      </c>
      <c r="S245" s="113">
        <f t="shared" si="24"/>
        <v>0</v>
      </c>
      <c r="T245" s="113">
        <f t="shared" si="25"/>
        <v>0</v>
      </c>
      <c r="U245" s="113">
        <f t="shared" si="47"/>
        <v>0</v>
      </c>
      <c r="V245" s="112">
        <f t="shared" si="27"/>
        <v>0</v>
      </c>
      <c r="W245" s="112">
        <f t="shared" si="28"/>
        <v>0</v>
      </c>
      <c r="X245" s="112">
        <f t="shared" si="29"/>
        <v>0</v>
      </c>
      <c r="Z245" s="111"/>
      <c r="AA245" s="111"/>
    </row>
    <row r="246" spans="1:27" s="341" customFormat="1" x14ac:dyDescent="0.25">
      <c r="B246" s="96">
        <v>40</v>
      </c>
      <c r="C246" s="119">
        <v>2760.7739999999999</v>
      </c>
      <c r="D246" s="119">
        <f t="shared" si="30"/>
        <v>2760.7739999999999</v>
      </c>
      <c r="E246" s="118">
        <f t="shared" si="18"/>
        <v>1</v>
      </c>
      <c r="F246" s="117">
        <v>0</v>
      </c>
      <c r="G246" s="117">
        <v>0</v>
      </c>
      <c r="H246" s="116">
        <v>0</v>
      </c>
      <c r="I246" s="115">
        <f t="shared" si="44"/>
        <v>0</v>
      </c>
      <c r="J246" s="113">
        <f t="shared" si="44"/>
        <v>0</v>
      </c>
      <c r="K246" s="113">
        <f t="shared" si="20"/>
        <v>0</v>
      </c>
      <c r="L246" s="111">
        <v>0</v>
      </c>
      <c r="M246" s="113">
        <v>0</v>
      </c>
      <c r="N246" s="113">
        <v>0</v>
      </c>
      <c r="O246" s="113">
        <f t="shared" si="21"/>
        <v>2.5011693764025309</v>
      </c>
      <c r="P246" s="113">
        <f t="shared" si="45"/>
        <v>0</v>
      </c>
      <c r="Q246" s="114">
        <f t="shared" si="46"/>
        <v>-2.5011693764025309</v>
      </c>
      <c r="R246" s="114">
        <f t="shared" si="46"/>
        <v>0</v>
      </c>
      <c r="S246" s="113">
        <f t="shared" si="24"/>
        <v>0</v>
      </c>
      <c r="T246" s="113">
        <f t="shared" si="25"/>
        <v>0</v>
      </c>
      <c r="U246" s="113">
        <f t="shared" si="47"/>
        <v>0</v>
      </c>
      <c r="V246" s="112">
        <f t="shared" si="27"/>
        <v>0</v>
      </c>
      <c r="W246" s="112">
        <f t="shared" si="28"/>
        <v>0</v>
      </c>
      <c r="X246" s="112">
        <f t="shared" si="29"/>
        <v>0</v>
      </c>
      <c r="Z246" s="111"/>
      <c r="AA246" s="111"/>
    </row>
    <row r="247" spans="1:27" s="341" customFormat="1" x14ac:dyDescent="0.25">
      <c r="B247" s="96">
        <v>41</v>
      </c>
      <c r="C247" s="119">
        <v>2760.7739999999999</v>
      </c>
      <c r="D247" s="119">
        <f t="shared" si="30"/>
        <v>2760.7739999999999</v>
      </c>
      <c r="E247" s="118">
        <f t="shared" si="18"/>
        <v>1</v>
      </c>
      <c r="F247" s="117">
        <v>0</v>
      </c>
      <c r="G247" s="117">
        <v>0</v>
      </c>
      <c r="H247" s="116">
        <v>0</v>
      </c>
      <c r="I247" s="115">
        <f t="shared" si="44"/>
        <v>0</v>
      </c>
      <c r="J247" s="113">
        <f t="shared" si="44"/>
        <v>0</v>
      </c>
      <c r="K247" s="113">
        <f t="shared" si="20"/>
        <v>0</v>
      </c>
      <c r="L247" s="111">
        <v>0</v>
      </c>
      <c r="M247" s="113">
        <v>0</v>
      </c>
      <c r="N247" s="113">
        <v>0</v>
      </c>
      <c r="O247" s="113">
        <f t="shared" si="21"/>
        <v>2.5011693764025309</v>
      </c>
      <c r="P247" s="113">
        <f t="shared" si="45"/>
        <v>0</v>
      </c>
      <c r="Q247" s="114">
        <f t="shared" si="46"/>
        <v>-2.5011693764025309</v>
      </c>
      <c r="R247" s="114">
        <f t="shared" si="46"/>
        <v>0</v>
      </c>
      <c r="S247" s="113">
        <f t="shared" si="24"/>
        <v>0</v>
      </c>
      <c r="T247" s="113">
        <f t="shared" si="25"/>
        <v>0</v>
      </c>
      <c r="U247" s="113">
        <f t="shared" si="47"/>
        <v>0</v>
      </c>
      <c r="V247" s="112">
        <f t="shared" si="27"/>
        <v>0</v>
      </c>
      <c r="W247" s="112">
        <f t="shared" si="28"/>
        <v>0</v>
      </c>
      <c r="X247" s="112">
        <f t="shared" si="29"/>
        <v>0</v>
      </c>
      <c r="Z247" s="111"/>
      <c r="AA247" s="111"/>
    </row>
    <row r="248" spans="1:27" s="341" customFormat="1" x14ac:dyDescent="0.25">
      <c r="B248" s="96">
        <v>42</v>
      </c>
      <c r="C248" s="119">
        <v>2760.7739999999999</v>
      </c>
      <c r="D248" s="119">
        <f t="shared" si="30"/>
        <v>2760.7739999999999</v>
      </c>
      <c r="E248" s="118">
        <f t="shared" si="18"/>
        <v>1</v>
      </c>
      <c r="F248" s="117">
        <v>0</v>
      </c>
      <c r="G248" s="117">
        <v>0</v>
      </c>
      <c r="H248" s="116">
        <v>0</v>
      </c>
      <c r="I248" s="115">
        <f t="shared" si="44"/>
        <v>0</v>
      </c>
      <c r="J248" s="113">
        <f t="shared" si="44"/>
        <v>0</v>
      </c>
      <c r="K248" s="113">
        <f t="shared" si="20"/>
        <v>0</v>
      </c>
      <c r="L248" s="111">
        <v>0</v>
      </c>
      <c r="M248" s="113">
        <v>0</v>
      </c>
      <c r="N248" s="113">
        <v>0</v>
      </c>
      <c r="O248" s="113">
        <f t="shared" si="21"/>
        <v>2.5011693764025309</v>
      </c>
      <c r="P248" s="113">
        <f t="shared" si="45"/>
        <v>0</v>
      </c>
      <c r="Q248" s="114">
        <f t="shared" si="46"/>
        <v>-2.5011693764025309</v>
      </c>
      <c r="R248" s="114">
        <f t="shared" si="46"/>
        <v>0</v>
      </c>
      <c r="S248" s="113">
        <f t="shared" si="24"/>
        <v>0</v>
      </c>
      <c r="T248" s="113">
        <f t="shared" si="25"/>
        <v>0</v>
      </c>
      <c r="U248" s="113">
        <f t="shared" si="47"/>
        <v>0</v>
      </c>
      <c r="V248" s="112">
        <f t="shared" si="27"/>
        <v>0</v>
      </c>
      <c r="W248" s="112">
        <f t="shared" si="28"/>
        <v>0</v>
      </c>
      <c r="X248" s="112">
        <f t="shared" si="29"/>
        <v>0</v>
      </c>
      <c r="Z248" s="111"/>
      <c r="AA248" s="111"/>
    </row>
    <row r="249" spans="1:27" s="341" customFormat="1" x14ac:dyDescent="0.25">
      <c r="B249" s="96">
        <v>43</v>
      </c>
      <c r="C249" s="119">
        <v>2760.7739999999999</v>
      </c>
      <c r="D249" s="119">
        <f t="shared" si="30"/>
        <v>2760.7739999999999</v>
      </c>
      <c r="E249" s="118">
        <f t="shared" si="18"/>
        <v>1</v>
      </c>
      <c r="F249" s="117">
        <v>0</v>
      </c>
      <c r="G249" s="117">
        <v>0</v>
      </c>
      <c r="H249" s="116">
        <v>0</v>
      </c>
      <c r="I249" s="115">
        <f t="shared" si="44"/>
        <v>0</v>
      </c>
      <c r="J249" s="113">
        <f t="shared" si="44"/>
        <v>0</v>
      </c>
      <c r="K249" s="113">
        <f t="shared" si="20"/>
        <v>0</v>
      </c>
      <c r="L249" s="111">
        <v>0</v>
      </c>
      <c r="M249" s="113">
        <v>0</v>
      </c>
      <c r="N249" s="113">
        <v>0</v>
      </c>
      <c r="O249" s="113">
        <f t="shared" si="21"/>
        <v>2.5011693764025309</v>
      </c>
      <c r="P249" s="113">
        <f t="shared" si="45"/>
        <v>0</v>
      </c>
      <c r="Q249" s="114">
        <f t="shared" si="46"/>
        <v>-2.5011693764025309</v>
      </c>
      <c r="R249" s="114">
        <f t="shared" si="46"/>
        <v>0</v>
      </c>
      <c r="S249" s="113">
        <f t="shared" si="24"/>
        <v>0</v>
      </c>
      <c r="T249" s="113">
        <f t="shared" si="25"/>
        <v>0</v>
      </c>
      <c r="U249" s="113">
        <f t="shared" si="47"/>
        <v>0</v>
      </c>
      <c r="V249" s="112">
        <f t="shared" si="27"/>
        <v>0</v>
      </c>
      <c r="W249" s="112">
        <f t="shared" si="28"/>
        <v>0</v>
      </c>
      <c r="X249" s="112">
        <f t="shared" si="29"/>
        <v>0</v>
      </c>
      <c r="Z249" s="111"/>
      <c r="AA249" s="111"/>
    </row>
    <row r="250" spans="1:27" s="341" customFormat="1" x14ac:dyDescent="0.25">
      <c r="B250" s="96">
        <v>44</v>
      </c>
      <c r="C250" s="119">
        <v>2760.7739999999999</v>
      </c>
      <c r="D250" s="119">
        <f t="shared" si="30"/>
        <v>2760.7739999999999</v>
      </c>
      <c r="E250" s="118">
        <f t="shared" si="18"/>
        <v>1</v>
      </c>
      <c r="F250" s="117">
        <v>0</v>
      </c>
      <c r="G250" s="117">
        <v>0</v>
      </c>
      <c r="H250" s="116">
        <v>0</v>
      </c>
      <c r="I250" s="115">
        <f t="shared" si="44"/>
        <v>0</v>
      </c>
      <c r="J250" s="113">
        <f t="shared" si="44"/>
        <v>0</v>
      </c>
      <c r="K250" s="113">
        <f t="shared" si="20"/>
        <v>0</v>
      </c>
      <c r="L250" s="111">
        <v>0</v>
      </c>
      <c r="M250" s="113">
        <v>0</v>
      </c>
      <c r="N250" s="113">
        <v>0</v>
      </c>
      <c r="O250" s="113">
        <f t="shared" si="21"/>
        <v>2.5011693764025309</v>
      </c>
      <c r="P250" s="113">
        <f t="shared" si="45"/>
        <v>0</v>
      </c>
      <c r="Q250" s="114">
        <f t="shared" si="46"/>
        <v>-2.5011693764025309</v>
      </c>
      <c r="R250" s="114">
        <f t="shared" si="46"/>
        <v>0</v>
      </c>
      <c r="S250" s="113">
        <f t="shared" si="24"/>
        <v>0</v>
      </c>
      <c r="T250" s="113">
        <f t="shared" si="25"/>
        <v>0</v>
      </c>
      <c r="U250" s="113">
        <f t="shared" si="47"/>
        <v>0</v>
      </c>
      <c r="V250" s="112">
        <f t="shared" si="27"/>
        <v>0</v>
      </c>
      <c r="W250" s="112">
        <f t="shared" si="28"/>
        <v>0</v>
      </c>
      <c r="X250" s="112">
        <f t="shared" si="29"/>
        <v>0</v>
      </c>
      <c r="Z250" s="111"/>
      <c r="AA250" s="111"/>
    </row>
    <row r="251" spans="1:27" s="341" customFormat="1" x14ac:dyDescent="0.25">
      <c r="B251" s="96">
        <v>45</v>
      </c>
      <c r="C251" s="119">
        <v>2760.7739999999999</v>
      </c>
      <c r="D251" s="119">
        <f t="shared" si="30"/>
        <v>2760.7739999999999</v>
      </c>
      <c r="E251" s="118">
        <f t="shared" si="18"/>
        <v>1</v>
      </c>
      <c r="F251" s="117">
        <v>0</v>
      </c>
      <c r="G251" s="117">
        <v>0</v>
      </c>
      <c r="H251" s="116">
        <v>0</v>
      </c>
      <c r="I251" s="115">
        <f t="shared" si="44"/>
        <v>0</v>
      </c>
      <c r="J251" s="113">
        <f t="shared" si="44"/>
        <v>0</v>
      </c>
      <c r="K251" s="113">
        <f t="shared" si="20"/>
        <v>0</v>
      </c>
      <c r="L251" s="111">
        <v>0</v>
      </c>
      <c r="M251" s="113">
        <v>0</v>
      </c>
      <c r="N251" s="113">
        <v>0</v>
      </c>
      <c r="O251" s="113">
        <f t="shared" si="21"/>
        <v>2.5011693764025309</v>
      </c>
      <c r="P251" s="113">
        <f t="shared" si="45"/>
        <v>0</v>
      </c>
      <c r="Q251" s="114">
        <f t="shared" si="46"/>
        <v>-2.5011693764025309</v>
      </c>
      <c r="R251" s="114">
        <f t="shared" si="46"/>
        <v>0</v>
      </c>
      <c r="S251" s="113">
        <f t="shared" si="24"/>
        <v>0</v>
      </c>
      <c r="T251" s="113">
        <f t="shared" si="25"/>
        <v>0</v>
      </c>
      <c r="U251" s="113">
        <f t="shared" si="47"/>
        <v>0</v>
      </c>
      <c r="V251" s="112">
        <f t="shared" si="27"/>
        <v>0</v>
      </c>
      <c r="W251" s="112">
        <f t="shared" si="28"/>
        <v>0</v>
      </c>
      <c r="X251" s="112">
        <f t="shared" si="29"/>
        <v>0</v>
      </c>
      <c r="Z251" s="111"/>
      <c r="AA251" s="111"/>
    </row>
    <row r="252" spans="1:27" s="341" customFormat="1" x14ac:dyDescent="0.25">
      <c r="B252" s="96">
        <v>46</v>
      </c>
      <c r="C252" s="119">
        <v>2760.7739999999999</v>
      </c>
      <c r="D252" s="119">
        <f t="shared" si="30"/>
        <v>2760.7739999999999</v>
      </c>
      <c r="E252" s="118">
        <f t="shared" si="18"/>
        <v>1</v>
      </c>
      <c r="F252" s="117">
        <v>0</v>
      </c>
      <c r="G252" s="117">
        <v>0</v>
      </c>
      <c r="H252" s="116">
        <v>0</v>
      </c>
      <c r="I252" s="115">
        <f t="shared" si="44"/>
        <v>0</v>
      </c>
      <c r="J252" s="113">
        <f t="shared" si="44"/>
        <v>0</v>
      </c>
      <c r="K252" s="113">
        <f t="shared" si="20"/>
        <v>0</v>
      </c>
      <c r="L252" s="111">
        <v>0</v>
      </c>
      <c r="M252" s="113">
        <v>0</v>
      </c>
      <c r="N252" s="113">
        <v>0</v>
      </c>
      <c r="O252" s="113">
        <f t="shared" si="21"/>
        <v>2.5011693764025309</v>
      </c>
      <c r="P252" s="113">
        <f t="shared" si="45"/>
        <v>0</v>
      </c>
      <c r="Q252" s="114">
        <f t="shared" si="46"/>
        <v>-2.5011693764025309</v>
      </c>
      <c r="R252" s="114">
        <f t="shared" si="46"/>
        <v>0</v>
      </c>
      <c r="S252" s="113">
        <f t="shared" si="24"/>
        <v>0</v>
      </c>
      <c r="T252" s="113">
        <f t="shared" si="25"/>
        <v>0</v>
      </c>
      <c r="U252" s="113">
        <f t="shared" si="47"/>
        <v>0</v>
      </c>
      <c r="V252" s="112">
        <f t="shared" si="27"/>
        <v>0</v>
      </c>
      <c r="W252" s="112">
        <f t="shared" si="28"/>
        <v>0</v>
      </c>
      <c r="X252" s="112">
        <f t="shared" si="29"/>
        <v>0</v>
      </c>
      <c r="Z252" s="111"/>
      <c r="AA252" s="111"/>
    </row>
    <row r="253" spans="1:27" s="341" customFormat="1" x14ac:dyDescent="0.25">
      <c r="B253" s="96">
        <v>47</v>
      </c>
      <c r="C253" s="119">
        <v>2760.7739999999999</v>
      </c>
      <c r="D253" s="119">
        <f t="shared" si="30"/>
        <v>2760.7739999999999</v>
      </c>
      <c r="E253" s="118">
        <f t="shared" si="18"/>
        <v>1</v>
      </c>
      <c r="F253" s="117">
        <v>0</v>
      </c>
      <c r="G253" s="117">
        <v>0</v>
      </c>
      <c r="H253" s="116">
        <v>0</v>
      </c>
      <c r="I253" s="115">
        <f t="shared" si="44"/>
        <v>0</v>
      </c>
      <c r="J253" s="113">
        <f t="shared" si="44"/>
        <v>0</v>
      </c>
      <c r="K253" s="113">
        <f t="shared" si="20"/>
        <v>0</v>
      </c>
      <c r="L253" s="111">
        <v>0</v>
      </c>
      <c r="M253" s="113">
        <v>0</v>
      </c>
      <c r="N253" s="113">
        <v>0</v>
      </c>
      <c r="O253" s="113">
        <f t="shared" si="21"/>
        <v>2.5011693764025309</v>
      </c>
      <c r="P253" s="113">
        <f t="shared" si="45"/>
        <v>0</v>
      </c>
      <c r="Q253" s="114">
        <f t="shared" si="46"/>
        <v>-2.5011693764025309</v>
      </c>
      <c r="R253" s="114">
        <f t="shared" si="46"/>
        <v>0</v>
      </c>
      <c r="S253" s="113">
        <f t="shared" si="24"/>
        <v>0</v>
      </c>
      <c r="T253" s="113">
        <f t="shared" si="25"/>
        <v>0</v>
      </c>
      <c r="U253" s="113">
        <f t="shared" si="47"/>
        <v>0</v>
      </c>
      <c r="V253" s="112">
        <f t="shared" si="27"/>
        <v>0</v>
      </c>
      <c r="W253" s="112">
        <f t="shared" si="28"/>
        <v>0</v>
      </c>
      <c r="X253" s="112">
        <f t="shared" si="29"/>
        <v>0</v>
      </c>
      <c r="Z253" s="111"/>
      <c r="AA253" s="111"/>
    </row>
    <row r="254" spans="1:27" s="341" customFormat="1" x14ac:dyDescent="0.25">
      <c r="B254" s="96">
        <v>48</v>
      </c>
      <c r="C254" s="119">
        <v>2760.7739999999999</v>
      </c>
      <c r="D254" s="119">
        <f t="shared" si="30"/>
        <v>2760.7739999999999</v>
      </c>
      <c r="E254" s="118">
        <f t="shared" si="18"/>
        <v>1</v>
      </c>
      <c r="F254" s="117">
        <v>0</v>
      </c>
      <c r="G254" s="117">
        <v>0</v>
      </c>
      <c r="H254" s="116">
        <v>0</v>
      </c>
      <c r="I254" s="115">
        <f t="shared" si="44"/>
        <v>0</v>
      </c>
      <c r="J254" s="113">
        <f t="shared" si="44"/>
        <v>0</v>
      </c>
      <c r="K254" s="113">
        <f t="shared" si="20"/>
        <v>0</v>
      </c>
      <c r="L254" s="111">
        <v>0</v>
      </c>
      <c r="M254" s="113">
        <v>0</v>
      </c>
      <c r="N254" s="113">
        <v>0</v>
      </c>
      <c r="O254" s="113">
        <f t="shared" si="21"/>
        <v>2.5011693764025309</v>
      </c>
      <c r="P254" s="113">
        <f t="shared" si="45"/>
        <v>0</v>
      </c>
      <c r="Q254" s="114">
        <f t="shared" si="46"/>
        <v>-2.5011693764025309</v>
      </c>
      <c r="R254" s="114">
        <f t="shared" si="46"/>
        <v>0</v>
      </c>
      <c r="S254" s="113">
        <f t="shared" si="24"/>
        <v>0</v>
      </c>
      <c r="T254" s="113">
        <f t="shared" si="25"/>
        <v>0</v>
      </c>
      <c r="U254" s="113">
        <f t="shared" si="47"/>
        <v>0</v>
      </c>
      <c r="V254" s="112">
        <f t="shared" si="27"/>
        <v>0</v>
      </c>
      <c r="W254" s="112">
        <f t="shared" si="28"/>
        <v>0</v>
      </c>
      <c r="X254" s="112">
        <f t="shared" si="29"/>
        <v>0</v>
      </c>
      <c r="Z254" s="111"/>
      <c r="AA254" s="111"/>
    </row>
    <row r="255" spans="1:27" s="341" customFormat="1" x14ac:dyDescent="0.25">
      <c r="B255" s="96">
        <v>49</v>
      </c>
      <c r="C255" s="119">
        <v>2760.7739999999999</v>
      </c>
      <c r="D255" s="119">
        <f t="shared" si="30"/>
        <v>2760.7739999999999</v>
      </c>
      <c r="E255" s="118">
        <f t="shared" si="18"/>
        <v>1</v>
      </c>
      <c r="F255" s="117">
        <v>0</v>
      </c>
      <c r="G255" s="117">
        <v>0</v>
      </c>
      <c r="H255" s="116">
        <v>0</v>
      </c>
      <c r="I255" s="115">
        <f t="shared" si="44"/>
        <v>0</v>
      </c>
      <c r="J255" s="113">
        <f t="shared" si="44"/>
        <v>0</v>
      </c>
      <c r="K255" s="113">
        <f t="shared" si="20"/>
        <v>0</v>
      </c>
      <c r="L255" s="111">
        <v>0</v>
      </c>
      <c r="M255" s="113">
        <v>0</v>
      </c>
      <c r="N255" s="113">
        <v>0</v>
      </c>
      <c r="O255" s="113">
        <f t="shared" si="21"/>
        <v>2.5011693764025309</v>
      </c>
      <c r="P255" s="113">
        <f t="shared" si="45"/>
        <v>0</v>
      </c>
      <c r="Q255" s="114">
        <f t="shared" si="46"/>
        <v>-2.5011693764025309</v>
      </c>
      <c r="R255" s="114">
        <f t="shared" si="46"/>
        <v>0</v>
      </c>
      <c r="S255" s="113">
        <f t="shared" si="24"/>
        <v>0</v>
      </c>
      <c r="T255" s="113">
        <f t="shared" si="25"/>
        <v>0</v>
      </c>
      <c r="U255" s="113">
        <f t="shared" si="47"/>
        <v>0</v>
      </c>
      <c r="V255" s="112">
        <f t="shared" si="27"/>
        <v>0</v>
      </c>
      <c r="W255" s="112">
        <f t="shared" si="28"/>
        <v>0</v>
      </c>
      <c r="X255" s="112">
        <f t="shared" si="29"/>
        <v>0</v>
      </c>
      <c r="Z255" s="111"/>
      <c r="AA255" s="111"/>
    </row>
    <row r="256" spans="1:27" s="341" customFormat="1" x14ac:dyDescent="0.25">
      <c r="B256" s="96">
        <v>50</v>
      </c>
      <c r="C256" s="119">
        <v>2760.7739999999999</v>
      </c>
      <c r="D256" s="119">
        <f t="shared" si="30"/>
        <v>2760.7739999999999</v>
      </c>
      <c r="E256" s="118">
        <f t="shared" si="18"/>
        <v>1</v>
      </c>
      <c r="F256" s="117">
        <v>0</v>
      </c>
      <c r="G256" s="117">
        <v>0</v>
      </c>
      <c r="H256" s="116">
        <v>0</v>
      </c>
      <c r="I256" s="115">
        <f t="shared" si="44"/>
        <v>0</v>
      </c>
      <c r="J256" s="113">
        <f t="shared" si="44"/>
        <v>0</v>
      </c>
      <c r="K256" s="113">
        <f t="shared" si="20"/>
        <v>0</v>
      </c>
      <c r="L256" s="111">
        <v>0</v>
      </c>
      <c r="M256" s="113">
        <v>0</v>
      </c>
      <c r="N256" s="113">
        <v>0</v>
      </c>
      <c r="O256" s="113">
        <f t="shared" si="21"/>
        <v>2.5011693764025309</v>
      </c>
      <c r="P256" s="113">
        <f t="shared" si="45"/>
        <v>0</v>
      </c>
      <c r="Q256" s="114">
        <f t="shared" si="46"/>
        <v>-2.5011693764025309</v>
      </c>
      <c r="R256" s="114">
        <f t="shared" si="46"/>
        <v>0</v>
      </c>
      <c r="S256" s="113">
        <f t="shared" si="24"/>
        <v>0</v>
      </c>
      <c r="T256" s="113">
        <f t="shared" si="25"/>
        <v>0</v>
      </c>
      <c r="U256" s="113">
        <f t="shared" si="47"/>
        <v>0</v>
      </c>
      <c r="V256" s="112">
        <f t="shared" si="27"/>
        <v>0</v>
      </c>
      <c r="W256" s="112">
        <f t="shared" si="28"/>
        <v>0</v>
      </c>
      <c r="X256" s="112">
        <f t="shared" si="29"/>
        <v>0</v>
      </c>
      <c r="Z256" s="111"/>
      <c r="AA256" s="111"/>
    </row>
    <row r="257" spans="1:27" s="341" customFormat="1" x14ac:dyDescent="0.25">
      <c r="B257" s="96">
        <v>51</v>
      </c>
      <c r="C257" s="119">
        <v>2760.7739999999999</v>
      </c>
      <c r="D257" s="119">
        <f t="shared" si="30"/>
        <v>2760.7739999999999</v>
      </c>
      <c r="E257" s="118">
        <f t="shared" si="18"/>
        <v>1</v>
      </c>
      <c r="F257" s="117">
        <v>0</v>
      </c>
      <c r="G257" s="117">
        <v>0</v>
      </c>
      <c r="H257" s="116">
        <v>0</v>
      </c>
      <c r="I257" s="115">
        <f t="shared" si="44"/>
        <v>0</v>
      </c>
      <c r="J257" s="113">
        <f t="shared" si="44"/>
        <v>0</v>
      </c>
      <c r="K257" s="113">
        <f t="shared" si="20"/>
        <v>0</v>
      </c>
      <c r="L257" s="111">
        <v>0</v>
      </c>
      <c r="M257" s="113">
        <v>0</v>
      </c>
      <c r="N257" s="113">
        <v>0</v>
      </c>
      <c r="O257" s="113">
        <f t="shared" si="21"/>
        <v>2.5011693764025309</v>
      </c>
      <c r="P257" s="113">
        <f t="shared" si="45"/>
        <v>0</v>
      </c>
      <c r="Q257" s="114">
        <f t="shared" si="46"/>
        <v>-2.5011693764025309</v>
      </c>
      <c r="R257" s="114">
        <f t="shared" si="46"/>
        <v>0</v>
      </c>
      <c r="S257" s="113">
        <f t="shared" si="24"/>
        <v>0</v>
      </c>
      <c r="T257" s="113">
        <f t="shared" si="25"/>
        <v>0</v>
      </c>
      <c r="U257" s="113">
        <f t="shared" si="47"/>
        <v>0</v>
      </c>
      <c r="V257" s="112">
        <f t="shared" si="27"/>
        <v>0</v>
      </c>
      <c r="W257" s="112">
        <f t="shared" si="28"/>
        <v>0</v>
      </c>
      <c r="X257" s="112">
        <f t="shared" si="29"/>
        <v>0</v>
      </c>
      <c r="Z257" s="111"/>
      <c r="AA257" s="111"/>
    </row>
    <row r="258" spans="1:27" s="341" customFormat="1" x14ac:dyDescent="0.25">
      <c r="B258" s="96">
        <v>52</v>
      </c>
      <c r="C258" s="119">
        <v>2760.7739999999999</v>
      </c>
      <c r="D258" s="119">
        <f t="shared" si="30"/>
        <v>2760.7739999999999</v>
      </c>
      <c r="E258" s="118">
        <f t="shared" si="18"/>
        <v>1</v>
      </c>
      <c r="F258" s="117">
        <v>0</v>
      </c>
      <c r="G258" s="117">
        <v>0</v>
      </c>
      <c r="H258" s="116">
        <v>0</v>
      </c>
      <c r="I258" s="115">
        <f t="shared" si="44"/>
        <v>0</v>
      </c>
      <c r="J258" s="113">
        <f t="shared" si="44"/>
        <v>0</v>
      </c>
      <c r="K258" s="113">
        <f t="shared" si="20"/>
        <v>0</v>
      </c>
      <c r="L258" s="111">
        <v>0</v>
      </c>
      <c r="M258" s="113">
        <v>0</v>
      </c>
      <c r="N258" s="113">
        <v>0</v>
      </c>
      <c r="O258" s="113">
        <f t="shared" si="21"/>
        <v>2.5011693764025309</v>
      </c>
      <c r="P258" s="113">
        <f t="shared" si="45"/>
        <v>0</v>
      </c>
      <c r="Q258" s="114">
        <f t="shared" si="46"/>
        <v>-2.5011693764025309</v>
      </c>
      <c r="R258" s="114">
        <f t="shared" si="46"/>
        <v>0</v>
      </c>
      <c r="S258" s="113">
        <f t="shared" si="24"/>
        <v>0</v>
      </c>
      <c r="T258" s="113">
        <f t="shared" si="25"/>
        <v>0</v>
      </c>
      <c r="U258" s="113">
        <f t="shared" si="47"/>
        <v>0</v>
      </c>
      <c r="V258" s="112">
        <f t="shared" si="27"/>
        <v>0</v>
      </c>
      <c r="W258" s="112">
        <f t="shared" si="28"/>
        <v>0</v>
      </c>
      <c r="X258" s="112">
        <f t="shared" si="29"/>
        <v>0</v>
      </c>
      <c r="Z258" s="111"/>
      <c r="AA258" s="111"/>
    </row>
    <row r="259" spans="1:27" s="341" customFormat="1" x14ac:dyDescent="0.25">
      <c r="B259" s="96">
        <v>53</v>
      </c>
      <c r="C259" s="119">
        <v>2760.7739999999999</v>
      </c>
      <c r="D259" s="119">
        <f t="shared" si="30"/>
        <v>2760.7739999999999</v>
      </c>
      <c r="E259" s="118">
        <f t="shared" si="18"/>
        <v>1</v>
      </c>
      <c r="F259" s="117">
        <v>0</v>
      </c>
      <c r="G259" s="117">
        <v>0</v>
      </c>
      <c r="H259" s="116">
        <v>0</v>
      </c>
      <c r="I259" s="115">
        <f t="shared" si="44"/>
        <v>0</v>
      </c>
      <c r="J259" s="113">
        <f t="shared" si="44"/>
        <v>0</v>
      </c>
      <c r="K259" s="113">
        <f t="shared" si="20"/>
        <v>0</v>
      </c>
      <c r="L259" s="234">
        <v>0</v>
      </c>
      <c r="M259" s="113">
        <v>0</v>
      </c>
      <c r="N259" s="113">
        <v>0</v>
      </c>
      <c r="O259" s="113">
        <f t="shared" si="21"/>
        <v>2.5011693764025309</v>
      </c>
      <c r="P259" s="113">
        <f t="shared" si="45"/>
        <v>0</v>
      </c>
      <c r="Q259" s="114">
        <f t="shared" si="46"/>
        <v>-2.5011693764025309</v>
      </c>
      <c r="R259" s="114">
        <f t="shared" si="46"/>
        <v>0</v>
      </c>
      <c r="S259" s="113">
        <f t="shared" si="24"/>
        <v>0</v>
      </c>
      <c r="T259" s="113">
        <f t="shared" si="25"/>
        <v>0</v>
      </c>
      <c r="U259" s="113">
        <f t="shared" si="47"/>
        <v>0</v>
      </c>
      <c r="V259" s="112">
        <f t="shared" si="27"/>
        <v>0</v>
      </c>
      <c r="W259" s="112">
        <f t="shared" si="28"/>
        <v>0</v>
      </c>
      <c r="X259" s="112">
        <f t="shared" si="29"/>
        <v>0</v>
      </c>
      <c r="Z259" s="111"/>
      <c r="AA259" s="111"/>
    </row>
    <row r="260" spans="1:27" s="341" customFormat="1" x14ac:dyDescent="0.25">
      <c r="B260" s="96">
        <v>54</v>
      </c>
      <c r="C260" s="119">
        <v>2760.7739999999999</v>
      </c>
      <c r="D260" s="119">
        <f t="shared" si="30"/>
        <v>2760.7739999999999</v>
      </c>
      <c r="E260" s="118">
        <f t="shared" si="18"/>
        <v>1</v>
      </c>
      <c r="F260" s="117">
        <v>0</v>
      </c>
      <c r="G260" s="117">
        <v>0</v>
      </c>
      <c r="H260" s="116">
        <v>0</v>
      </c>
      <c r="I260" s="115">
        <f t="shared" si="44"/>
        <v>0</v>
      </c>
      <c r="J260" s="113">
        <f t="shared" si="44"/>
        <v>0</v>
      </c>
      <c r="K260" s="113">
        <f t="shared" si="20"/>
        <v>0</v>
      </c>
      <c r="L260" s="111">
        <v>0</v>
      </c>
      <c r="M260" s="113">
        <v>0</v>
      </c>
      <c r="N260" s="113">
        <v>0</v>
      </c>
      <c r="O260" s="113">
        <f t="shared" si="21"/>
        <v>2.5011693764025309</v>
      </c>
      <c r="P260" s="113">
        <f t="shared" si="45"/>
        <v>0</v>
      </c>
      <c r="Q260" s="114">
        <f t="shared" si="46"/>
        <v>-2.5011693764025309</v>
      </c>
      <c r="R260" s="114">
        <f t="shared" si="46"/>
        <v>0</v>
      </c>
      <c r="S260" s="113">
        <f t="shared" si="24"/>
        <v>0</v>
      </c>
      <c r="T260" s="113">
        <f t="shared" si="25"/>
        <v>0</v>
      </c>
      <c r="U260" s="113">
        <f t="shared" si="47"/>
        <v>0</v>
      </c>
      <c r="V260" s="112">
        <f t="shared" si="27"/>
        <v>0</v>
      </c>
      <c r="W260" s="112">
        <f t="shared" si="28"/>
        <v>0</v>
      </c>
      <c r="X260" s="112">
        <f t="shared" si="29"/>
        <v>0</v>
      </c>
      <c r="Z260" s="111"/>
      <c r="AA260" s="111"/>
    </row>
    <row r="261" spans="1:27" s="341" customFormat="1" x14ac:dyDescent="0.25">
      <c r="B261" s="96">
        <v>55</v>
      </c>
      <c r="C261" s="119">
        <v>2760.7739999999999</v>
      </c>
      <c r="D261" s="119">
        <f t="shared" si="30"/>
        <v>2760.7739999999999</v>
      </c>
      <c r="E261" s="118">
        <f t="shared" si="18"/>
        <v>1</v>
      </c>
      <c r="F261" s="117">
        <v>0</v>
      </c>
      <c r="G261" s="117">
        <v>0</v>
      </c>
      <c r="H261" s="116">
        <v>0</v>
      </c>
      <c r="I261" s="115">
        <f t="shared" si="44"/>
        <v>0</v>
      </c>
      <c r="J261" s="113">
        <f t="shared" si="44"/>
        <v>0</v>
      </c>
      <c r="K261" s="113">
        <f t="shared" si="20"/>
        <v>0</v>
      </c>
      <c r="L261" s="111">
        <v>0</v>
      </c>
      <c r="M261" s="113">
        <v>0</v>
      </c>
      <c r="N261" s="113">
        <v>0</v>
      </c>
      <c r="O261" s="113">
        <f t="shared" si="21"/>
        <v>2.5011693764025309</v>
      </c>
      <c r="P261" s="113">
        <f t="shared" si="45"/>
        <v>0</v>
      </c>
      <c r="Q261" s="114">
        <f t="shared" si="46"/>
        <v>-2.5011693764025309</v>
      </c>
      <c r="R261" s="114">
        <f t="shared" si="46"/>
        <v>0</v>
      </c>
      <c r="S261" s="113">
        <f t="shared" si="24"/>
        <v>0</v>
      </c>
      <c r="T261" s="113">
        <f t="shared" si="25"/>
        <v>0</v>
      </c>
      <c r="U261" s="113">
        <f t="shared" si="47"/>
        <v>0</v>
      </c>
      <c r="V261" s="112">
        <f t="shared" si="27"/>
        <v>0</v>
      </c>
      <c r="W261" s="112">
        <f t="shared" si="28"/>
        <v>0</v>
      </c>
      <c r="X261" s="112">
        <f t="shared" si="29"/>
        <v>0</v>
      </c>
      <c r="Z261" s="111"/>
      <c r="AA261" s="111"/>
    </row>
    <row r="262" spans="1:27" s="341" customFormat="1" x14ac:dyDescent="0.25">
      <c r="A262" s="530" t="s">
        <v>2062</v>
      </c>
      <c r="B262" s="96">
        <v>56</v>
      </c>
      <c r="C262" s="110">
        <v>0</v>
      </c>
      <c r="D262" s="110">
        <f t="shared" si="30"/>
        <v>2760.7739999999999</v>
      </c>
      <c r="E262" s="109">
        <f t="shared" si="18"/>
        <v>0</v>
      </c>
      <c r="F262" s="108">
        <v>0</v>
      </c>
      <c r="G262" s="108">
        <v>0</v>
      </c>
      <c r="H262" s="107">
        <v>0</v>
      </c>
      <c r="I262" s="106">
        <f t="shared" si="44"/>
        <v>0</v>
      </c>
      <c r="J262" s="104">
        <f t="shared" si="44"/>
        <v>0</v>
      </c>
      <c r="K262" s="104">
        <f t="shared" si="20"/>
        <v>0</v>
      </c>
      <c r="L262" s="102">
        <v>0</v>
      </c>
      <c r="M262" s="104">
        <v>0</v>
      </c>
      <c r="N262" s="104">
        <v>0</v>
      </c>
      <c r="O262" s="104">
        <f t="shared" si="21"/>
        <v>2.5011693764025309</v>
      </c>
      <c r="P262" s="104">
        <f t="shared" si="45"/>
        <v>0</v>
      </c>
      <c r="Q262" s="105">
        <f t="shared" si="46"/>
        <v>-2.5011693764025309</v>
      </c>
      <c r="R262" s="105">
        <f t="shared" si="46"/>
        <v>0</v>
      </c>
      <c r="S262" s="104">
        <f t="shared" si="24"/>
        <v>0</v>
      </c>
      <c r="T262" s="104">
        <f t="shared" si="25"/>
        <v>0</v>
      </c>
      <c r="U262" s="104">
        <f t="shared" si="47"/>
        <v>0</v>
      </c>
      <c r="V262" s="103">
        <f t="shared" si="27"/>
        <v>0</v>
      </c>
      <c r="W262" s="103">
        <f t="shared" si="28"/>
        <v>0</v>
      </c>
      <c r="X262" s="103">
        <f t="shared" si="29"/>
        <v>0</v>
      </c>
      <c r="Z262" s="102"/>
      <c r="AA262" s="102"/>
    </row>
    <row r="263" spans="1:27" s="341" customFormat="1" x14ac:dyDescent="0.25">
      <c r="A263" s="530"/>
      <c r="B263" s="96">
        <v>57</v>
      </c>
      <c r="C263" s="110">
        <v>0</v>
      </c>
      <c r="D263" s="110">
        <f t="shared" si="30"/>
        <v>2760.7739999999999</v>
      </c>
      <c r="E263" s="109">
        <f t="shared" si="18"/>
        <v>0</v>
      </c>
      <c r="F263" s="108">
        <v>0</v>
      </c>
      <c r="G263" s="108">
        <v>0</v>
      </c>
      <c r="H263" s="107">
        <v>0</v>
      </c>
      <c r="I263" s="106">
        <f t="shared" si="44"/>
        <v>0</v>
      </c>
      <c r="J263" s="104">
        <f t="shared" si="44"/>
        <v>0</v>
      </c>
      <c r="K263" s="104">
        <f t="shared" si="20"/>
        <v>0</v>
      </c>
      <c r="L263" s="102">
        <v>0</v>
      </c>
      <c r="M263" s="104">
        <v>0</v>
      </c>
      <c r="N263" s="104">
        <v>0</v>
      </c>
      <c r="O263" s="104">
        <f t="shared" si="21"/>
        <v>2.5011693764025309</v>
      </c>
      <c r="P263" s="104">
        <f t="shared" si="45"/>
        <v>0</v>
      </c>
      <c r="Q263" s="105">
        <f t="shared" si="46"/>
        <v>-2.5011693764025309</v>
      </c>
      <c r="R263" s="105">
        <f t="shared" si="46"/>
        <v>0</v>
      </c>
      <c r="S263" s="104">
        <f t="shared" si="24"/>
        <v>0</v>
      </c>
      <c r="T263" s="104">
        <f t="shared" si="25"/>
        <v>0</v>
      </c>
      <c r="U263" s="104">
        <f t="shared" si="47"/>
        <v>0</v>
      </c>
      <c r="V263" s="103">
        <f t="shared" si="27"/>
        <v>0</v>
      </c>
      <c r="W263" s="103">
        <f t="shared" si="28"/>
        <v>0</v>
      </c>
      <c r="X263" s="103">
        <f t="shared" si="29"/>
        <v>0</v>
      </c>
      <c r="Z263" s="102"/>
      <c r="AA263" s="102"/>
    </row>
    <row r="264" spans="1:27" s="341" customFormat="1" x14ac:dyDescent="0.25">
      <c r="A264" s="530"/>
      <c r="B264" s="96">
        <v>58</v>
      </c>
      <c r="C264" s="110">
        <v>0</v>
      </c>
      <c r="D264" s="110">
        <f t="shared" si="30"/>
        <v>2760.7739999999999</v>
      </c>
      <c r="E264" s="109">
        <f t="shared" si="18"/>
        <v>0</v>
      </c>
      <c r="F264" s="108">
        <v>0</v>
      </c>
      <c r="G264" s="108">
        <v>0</v>
      </c>
      <c r="H264" s="107">
        <v>0</v>
      </c>
      <c r="I264" s="106">
        <f t="shared" si="44"/>
        <v>0</v>
      </c>
      <c r="J264" s="104">
        <f t="shared" si="44"/>
        <v>0</v>
      </c>
      <c r="K264" s="104">
        <f t="shared" si="20"/>
        <v>0</v>
      </c>
      <c r="L264" s="102">
        <v>0</v>
      </c>
      <c r="M264" s="104">
        <v>0</v>
      </c>
      <c r="N264" s="104">
        <v>0</v>
      </c>
      <c r="O264" s="104">
        <f t="shared" si="21"/>
        <v>2.5011693764025309</v>
      </c>
      <c r="P264" s="104">
        <f t="shared" si="45"/>
        <v>0</v>
      </c>
      <c r="Q264" s="105">
        <f t="shared" si="46"/>
        <v>-2.5011693764025309</v>
      </c>
      <c r="R264" s="105">
        <f t="shared" si="46"/>
        <v>0</v>
      </c>
      <c r="S264" s="104">
        <f t="shared" si="24"/>
        <v>0</v>
      </c>
      <c r="T264" s="104">
        <f t="shared" si="25"/>
        <v>0</v>
      </c>
      <c r="U264" s="104">
        <f t="shared" si="47"/>
        <v>0</v>
      </c>
      <c r="V264" s="103">
        <f t="shared" si="27"/>
        <v>0</v>
      </c>
      <c r="W264" s="103">
        <f t="shared" si="28"/>
        <v>0</v>
      </c>
      <c r="X264" s="103">
        <f t="shared" si="29"/>
        <v>0</v>
      </c>
      <c r="Z264" s="102"/>
      <c r="AA264" s="102"/>
    </row>
    <row r="265" spans="1:27" s="341" customFormat="1" x14ac:dyDescent="0.25">
      <c r="A265" s="530"/>
      <c r="B265" s="96">
        <v>59</v>
      </c>
      <c r="C265" s="110">
        <v>0</v>
      </c>
      <c r="D265" s="110">
        <f t="shared" si="30"/>
        <v>2760.7739999999999</v>
      </c>
      <c r="E265" s="109">
        <f t="shared" si="18"/>
        <v>0</v>
      </c>
      <c r="F265" s="108">
        <v>0</v>
      </c>
      <c r="G265" s="108">
        <v>0</v>
      </c>
      <c r="H265" s="107">
        <v>0</v>
      </c>
      <c r="I265" s="106">
        <f t="shared" si="44"/>
        <v>0</v>
      </c>
      <c r="J265" s="104">
        <f t="shared" si="44"/>
        <v>0</v>
      </c>
      <c r="K265" s="104">
        <f t="shared" si="20"/>
        <v>0</v>
      </c>
      <c r="L265" s="102">
        <v>0</v>
      </c>
      <c r="M265" s="104">
        <v>0</v>
      </c>
      <c r="N265" s="104">
        <v>0</v>
      </c>
      <c r="O265" s="104">
        <f t="shared" si="21"/>
        <v>2.5011693764025309</v>
      </c>
      <c r="P265" s="104">
        <f t="shared" si="45"/>
        <v>0</v>
      </c>
      <c r="Q265" s="105">
        <f t="shared" si="46"/>
        <v>-2.5011693764025309</v>
      </c>
      <c r="R265" s="105">
        <f t="shared" si="46"/>
        <v>0</v>
      </c>
      <c r="S265" s="104">
        <f t="shared" si="24"/>
        <v>0</v>
      </c>
      <c r="T265" s="104">
        <f t="shared" si="25"/>
        <v>0</v>
      </c>
      <c r="U265" s="104">
        <f t="shared" si="47"/>
        <v>0</v>
      </c>
      <c r="V265" s="103">
        <f t="shared" si="27"/>
        <v>0</v>
      </c>
      <c r="W265" s="103">
        <f t="shared" si="28"/>
        <v>0</v>
      </c>
      <c r="X265" s="103">
        <f t="shared" si="29"/>
        <v>0</v>
      </c>
      <c r="Z265" s="102"/>
      <c r="AA265" s="102"/>
    </row>
    <row r="266" spans="1:27" s="341" customFormat="1" x14ac:dyDescent="0.25">
      <c r="A266" s="530"/>
      <c r="B266" s="96">
        <v>60</v>
      </c>
      <c r="C266" s="110">
        <v>0</v>
      </c>
      <c r="D266" s="110">
        <f t="shared" si="30"/>
        <v>2760.7739999999999</v>
      </c>
      <c r="E266" s="109">
        <f t="shared" si="18"/>
        <v>0</v>
      </c>
      <c r="F266" s="108">
        <v>0</v>
      </c>
      <c r="G266" s="108">
        <v>0</v>
      </c>
      <c r="H266" s="107">
        <v>0</v>
      </c>
      <c r="I266" s="106">
        <f t="shared" si="44"/>
        <v>0</v>
      </c>
      <c r="J266" s="104">
        <f t="shared" si="44"/>
        <v>0</v>
      </c>
      <c r="K266" s="104">
        <f t="shared" si="20"/>
        <v>0</v>
      </c>
      <c r="L266" s="102">
        <v>0</v>
      </c>
      <c r="M266" s="104">
        <v>0</v>
      </c>
      <c r="N266" s="104">
        <v>0</v>
      </c>
      <c r="O266" s="104">
        <f t="shared" si="21"/>
        <v>2.5011693764025309</v>
      </c>
      <c r="P266" s="104">
        <f t="shared" si="45"/>
        <v>0</v>
      </c>
      <c r="Q266" s="105">
        <f t="shared" si="46"/>
        <v>-2.5011693764025309</v>
      </c>
      <c r="R266" s="105">
        <f t="shared" si="46"/>
        <v>0</v>
      </c>
      <c r="S266" s="104">
        <f t="shared" si="24"/>
        <v>0</v>
      </c>
      <c r="T266" s="104">
        <f t="shared" si="25"/>
        <v>0</v>
      </c>
      <c r="U266" s="104">
        <f t="shared" si="47"/>
        <v>0</v>
      </c>
      <c r="V266" s="103">
        <f t="shared" si="27"/>
        <v>0</v>
      </c>
      <c r="W266" s="103">
        <f t="shared" si="28"/>
        <v>0</v>
      </c>
      <c r="X266" s="103">
        <f t="shared" si="29"/>
        <v>0</v>
      </c>
      <c r="Z266" s="102"/>
      <c r="AA266" s="102"/>
    </row>
    <row r="267" spans="1:27" s="341" customFormat="1" x14ac:dyDescent="0.25">
      <c r="A267" s="530"/>
      <c r="B267" s="96">
        <v>61</v>
      </c>
      <c r="C267" s="110">
        <v>0</v>
      </c>
      <c r="D267" s="110">
        <f t="shared" si="30"/>
        <v>2760.7739999999999</v>
      </c>
      <c r="E267" s="109">
        <f t="shared" si="18"/>
        <v>0</v>
      </c>
      <c r="F267" s="108">
        <v>0</v>
      </c>
      <c r="G267" s="108">
        <v>0</v>
      </c>
      <c r="H267" s="107">
        <v>0</v>
      </c>
      <c r="I267" s="106">
        <f t="shared" si="44"/>
        <v>0</v>
      </c>
      <c r="J267" s="104">
        <f t="shared" si="44"/>
        <v>0</v>
      </c>
      <c r="K267" s="104">
        <f t="shared" si="20"/>
        <v>0</v>
      </c>
      <c r="L267" s="102">
        <v>0</v>
      </c>
      <c r="M267" s="104">
        <v>0</v>
      </c>
      <c r="N267" s="104">
        <v>0</v>
      </c>
      <c r="O267" s="104">
        <f t="shared" si="21"/>
        <v>2.5011693764025309</v>
      </c>
      <c r="P267" s="104">
        <f t="shared" si="45"/>
        <v>0</v>
      </c>
      <c r="Q267" s="105">
        <f t="shared" si="46"/>
        <v>-2.5011693764025309</v>
      </c>
      <c r="R267" s="105">
        <f t="shared" si="46"/>
        <v>0</v>
      </c>
      <c r="S267" s="104">
        <f t="shared" si="24"/>
        <v>0</v>
      </c>
      <c r="T267" s="104">
        <f t="shared" si="25"/>
        <v>0</v>
      </c>
      <c r="U267" s="104">
        <f t="shared" si="47"/>
        <v>0</v>
      </c>
      <c r="V267" s="103">
        <f t="shared" si="27"/>
        <v>0</v>
      </c>
      <c r="W267" s="103">
        <f t="shared" si="28"/>
        <v>0</v>
      </c>
      <c r="X267" s="103">
        <f t="shared" si="29"/>
        <v>0</v>
      </c>
      <c r="Z267" s="102"/>
      <c r="AA267" s="102"/>
    </row>
    <row r="268" spans="1:27" s="341" customFormat="1" x14ac:dyDescent="0.25">
      <c r="A268" s="530"/>
      <c r="B268" s="96">
        <v>62</v>
      </c>
      <c r="C268" s="110">
        <v>0</v>
      </c>
      <c r="D268" s="110">
        <f t="shared" si="30"/>
        <v>2760.7739999999999</v>
      </c>
      <c r="E268" s="109">
        <f t="shared" si="18"/>
        <v>0</v>
      </c>
      <c r="F268" s="108">
        <v>0</v>
      </c>
      <c r="G268" s="108">
        <v>0</v>
      </c>
      <c r="H268" s="107">
        <v>0</v>
      </c>
      <c r="I268" s="106">
        <f t="shared" si="44"/>
        <v>0</v>
      </c>
      <c r="J268" s="104">
        <f t="shared" si="44"/>
        <v>0</v>
      </c>
      <c r="K268" s="104">
        <f t="shared" si="20"/>
        <v>0</v>
      </c>
      <c r="L268" s="102">
        <v>0</v>
      </c>
      <c r="M268" s="104">
        <v>0</v>
      </c>
      <c r="N268" s="104">
        <v>0</v>
      </c>
      <c r="O268" s="104">
        <f t="shared" si="21"/>
        <v>2.5011693764025309</v>
      </c>
      <c r="P268" s="104">
        <f t="shared" si="45"/>
        <v>0</v>
      </c>
      <c r="Q268" s="105">
        <f t="shared" si="46"/>
        <v>-2.5011693764025309</v>
      </c>
      <c r="R268" s="105">
        <f t="shared" si="46"/>
        <v>0</v>
      </c>
      <c r="S268" s="104">
        <f t="shared" si="24"/>
        <v>0</v>
      </c>
      <c r="T268" s="104">
        <f t="shared" si="25"/>
        <v>0</v>
      </c>
      <c r="U268" s="104">
        <f t="shared" si="47"/>
        <v>0</v>
      </c>
      <c r="V268" s="103">
        <f t="shared" si="27"/>
        <v>0</v>
      </c>
      <c r="W268" s="103">
        <f t="shared" si="28"/>
        <v>0</v>
      </c>
      <c r="X268" s="103">
        <f t="shared" si="29"/>
        <v>0</v>
      </c>
      <c r="Z268" s="102"/>
      <c r="AA268" s="102"/>
    </row>
    <row r="269" spans="1:27" s="341" customFormat="1" x14ac:dyDescent="0.25">
      <c r="A269" s="530"/>
      <c r="B269" s="96">
        <v>63</v>
      </c>
      <c r="C269" s="110">
        <v>0</v>
      </c>
      <c r="D269" s="110">
        <f t="shared" si="30"/>
        <v>2760.7739999999999</v>
      </c>
      <c r="E269" s="109">
        <f t="shared" si="18"/>
        <v>0</v>
      </c>
      <c r="F269" s="108">
        <v>0</v>
      </c>
      <c r="G269" s="108">
        <v>0</v>
      </c>
      <c r="H269" s="107">
        <v>0</v>
      </c>
      <c r="I269" s="106">
        <f t="shared" si="44"/>
        <v>0</v>
      </c>
      <c r="J269" s="104">
        <f t="shared" si="44"/>
        <v>0</v>
      </c>
      <c r="K269" s="104">
        <f t="shared" si="20"/>
        <v>0</v>
      </c>
      <c r="L269" s="102">
        <v>0</v>
      </c>
      <c r="M269" s="104">
        <v>0</v>
      </c>
      <c r="N269" s="104">
        <v>0</v>
      </c>
      <c r="O269" s="104">
        <f t="shared" si="21"/>
        <v>2.5011693764025309</v>
      </c>
      <c r="P269" s="104">
        <f t="shared" si="45"/>
        <v>0</v>
      </c>
      <c r="Q269" s="105">
        <f t="shared" si="46"/>
        <v>-2.5011693764025309</v>
      </c>
      <c r="R269" s="105">
        <f t="shared" si="46"/>
        <v>0</v>
      </c>
      <c r="S269" s="104">
        <f t="shared" si="24"/>
        <v>0</v>
      </c>
      <c r="T269" s="104">
        <f t="shared" si="25"/>
        <v>0</v>
      </c>
      <c r="U269" s="104">
        <f t="shared" si="47"/>
        <v>0</v>
      </c>
      <c r="V269" s="103">
        <f t="shared" si="27"/>
        <v>0</v>
      </c>
      <c r="W269" s="103">
        <f t="shared" si="28"/>
        <v>0</v>
      </c>
      <c r="X269" s="103">
        <f t="shared" si="29"/>
        <v>0</v>
      </c>
      <c r="Z269" s="102"/>
      <c r="AA269" s="102"/>
    </row>
    <row r="270" spans="1:27" s="341" customFormat="1" x14ac:dyDescent="0.25">
      <c r="A270" s="530"/>
      <c r="B270" s="96">
        <v>64</v>
      </c>
      <c r="C270" s="110">
        <v>0</v>
      </c>
      <c r="D270" s="110">
        <f t="shared" si="30"/>
        <v>2760.7739999999999</v>
      </c>
      <c r="E270" s="109">
        <f t="shared" si="18"/>
        <v>0</v>
      </c>
      <c r="F270" s="108">
        <v>0</v>
      </c>
      <c r="G270" s="108">
        <v>0</v>
      </c>
      <c r="H270" s="107">
        <v>0</v>
      </c>
      <c r="I270" s="106">
        <f t="shared" si="44"/>
        <v>0</v>
      </c>
      <c r="J270" s="104">
        <f t="shared" si="44"/>
        <v>0</v>
      </c>
      <c r="K270" s="104">
        <f t="shared" si="20"/>
        <v>0</v>
      </c>
      <c r="L270" s="102">
        <v>0</v>
      </c>
      <c r="M270" s="104">
        <v>0</v>
      </c>
      <c r="N270" s="104">
        <v>0</v>
      </c>
      <c r="O270" s="104">
        <f t="shared" si="21"/>
        <v>2.5011693764025309</v>
      </c>
      <c r="P270" s="104">
        <f t="shared" si="45"/>
        <v>0</v>
      </c>
      <c r="Q270" s="105">
        <f t="shared" si="46"/>
        <v>-2.5011693764025309</v>
      </c>
      <c r="R270" s="105">
        <f t="shared" si="46"/>
        <v>0</v>
      </c>
      <c r="S270" s="104">
        <f t="shared" si="24"/>
        <v>0</v>
      </c>
      <c r="T270" s="104">
        <f t="shared" si="25"/>
        <v>0</v>
      </c>
      <c r="U270" s="104">
        <f t="shared" si="47"/>
        <v>0</v>
      </c>
      <c r="V270" s="103">
        <f t="shared" si="27"/>
        <v>0</v>
      </c>
      <c r="W270" s="103">
        <f t="shared" si="28"/>
        <v>0</v>
      </c>
      <c r="X270" s="103">
        <f t="shared" si="29"/>
        <v>0</v>
      </c>
      <c r="Z270" s="102"/>
      <c r="AA270" s="102"/>
    </row>
    <row r="271" spans="1:27" s="341" customFormat="1" x14ac:dyDescent="0.25">
      <c r="A271" s="530"/>
      <c r="B271" s="96">
        <v>65</v>
      </c>
      <c r="C271" s="110">
        <v>0</v>
      </c>
      <c r="D271" s="110">
        <f t="shared" si="30"/>
        <v>2760.7739999999999</v>
      </c>
      <c r="E271" s="109">
        <f t="shared" ref="E271:E301" si="49">C271/D271</f>
        <v>0</v>
      </c>
      <c r="F271" s="108">
        <v>0</v>
      </c>
      <c r="G271" s="108">
        <v>0</v>
      </c>
      <c r="H271" s="107">
        <v>0</v>
      </c>
      <c r="I271" s="106">
        <f t="shared" ref="I271:J301" si="50">H271*E271</f>
        <v>0</v>
      </c>
      <c r="J271" s="104">
        <f t="shared" si="50"/>
        <v>0</v>
      </c>
      <c r="K271" s="104">
        <f t="shared" ref="K271:K301" si="51">I271*G271</f>
        <v>0</v>
      </c>
      <c r="L271" s="102">
        <v>0</v>
      </c>
      <c r="M271" s="104">
        <v>0</v>
      </c>
      <c r="N271" s="104">
        <v>0</v>
      </c>
      <c r="O271" s="104">
        <f t="shared" ref="O271:O301" si="52">$H$307</f>
        <v>2.5011693764025309</v>
      </c>
      <c r="P271" s="104">
        <f t="shared" si="45"/>
        <v>0</v>
      </c>
      <c r="Q271" s="105">
        <f t="shared" ref="Q271:R301" si="53">F271-O271</f>
        <v>-2.5011693764025309</v>
      </c>
      <c r="R271" s="105">
        <f t="shared" si="53"/>
        <v>0</v>
      </c>
      <c r="S271" s="104">
        <f t="shared" ref="S271:S301" si="54">H271*Q271^2</f>
        <v>0</v>
      </c>
      <c r="T271" s="104">
        <f t="shared" ref="T271:T301" si="55">H271*R271^2</f>
        <v>0</v>
      </c>
      <c r="U271" s="104">
        <f t="shared" si="47"/>
        <v>0</v>
      </c>
      <c r="V271" s="103">
        <f t="shared" ref="V271:V301" si="56">E271*(L271+T271)</f>
        <v>0</v>
      </c>
      <c r="W271" s="103">
        <f t="shared" ref="W271:W301" si="57">E271*(M271+S271)</f>
        <v>0</v>
      </c>
      <c r="X271" s="103">
        <f t="shared" ref="X271:X301" si="58">E271*(N271+U271)</f>
        <v>0</v>
      </c>
      <c r="Z271" s="102"/>
      <c r="AA271" s="102"/>
    </row>
    <row r="272" spans="1:27" s="341" customFormat="1" x14ac:dyDescent="0.25">
      <c r="A272" s="530"/>
      <c r="B272" s="96">
        <v>66</v>
      </c>
      <c r="C272" s="110">
        <v>0</v>
      </c>
      <c r="D272" s="110">
        <f t="shared" ref="D272:D301" si="59">$C$228</f>
        <v>2760.7739999999999</v>
      </c>
      <c r="E272" s="109">
        <f t="shared" si="49"/>
        <v>0</v>
      </c>
      <c r="F272" s="108">
        <v>0</v>
      </c>
      <c r="G272" s="108">
        <v>0</v>
      </c>
      <c r="H272" s="107">
        <v>0</v>
      </c>
      <c r="I272" s="106">
        <f t="shared" si="50"/>
        <v>0</v>
      </c>
      <c r="J272" s="104">
        <f t="shared" si="50"/>
        <v>0</v>
      </c>
      <c r="K272" s="104">
        <f t="shared" si="51"/>
        <v>0</v>
      </c>
      <c r="L272" s="102">
        <v>0</v>
      </c>
      <c r="M272" s="104">
        <v>0</v>
      </c>
      <c r="N272" s="104">
        <v>0</v>
      </c>
      <c r="O272" s="104">
        <f t="shared" si="52"/>
        <v>2.5011693764025309</v>
      </c>
      <c r="P272" s="104">
        <f t="shared" si="45"/>
        <v>0</v>
      </c>
      <c r="Q272" s="105">
        <f t="shared" si="53"/>
        <v>-2.5011693764025309</v>
      </c>
      <c r="R272" s="105">
        <f t="shared" si="53"/>
        <v>0</v>
      </c>
      <c r="S272" s="104">
        <f t="shared" si="54"/>
        <v>0</v>
      </c>
      <c r="T272" s="104">
        <f t="shared" si="55"/>
        <v>0</v>
      </c>
      <c r="U272" s="104">
        <f t="shared" si="47"/>
        <v>0</v>
      </c>
      <c r="V272" s="103">
        <f t="shared" si="56"/>
        <v>0</v>
      </c>
      <c r="W272" s="103">
        <f t="shared" si="57"/>
        <v>0</v>
      </c>
      <c r="X272" s="103">
        <f t="shared" si="58"/>
        <v>0</v>
      </c>
      <c r="Z272" s="102"/>
      <c r="AA272" s="102"/>
    </row>
    <row r="273" spans="1:27" s="341" customFormat="1" x14ac:dyDescent="0.25">
      <c r="A273" s="530"/>
      <c r="B273" s="96">
        <v>67</v>
      </c>
      <c r="C273" s="110">
        <v>0</v>
      </c>
      <c r="D273" s="110">
        <f t="shared" si="59"/>
        <v>2760.7739999999999</v>
      </c>
      <c r="E273" s="109">
        <f t="shared" si="49"/>
        <v>0</v>
      </c>
      <c r="F273" s="108">
        <v>0</v>
      </c>
      <c r="G273" s="108">
        <v>0</v>
      </c>
      <c r="H273" s="107">
        <v>0</v>
      </c>
      <c r="I273" s="106">
        <f t="shared" si="50"/>
        <v>0</v>
      </c>
      <c r="J273" s="104">
        <f t="shared" si="50"/>
        <v>0</v>
      </c>
      <c r="K273" s="104">
        <f t="shared" si="51"/>
        <v>0</v>
      </c>
      <c r="L273" s="102">
        <v>0</v>
      </c>
      <c r="M273" s="104">
        <v>0</v>
      </c>
      <c r="N273" s="104">
        <v>0</v>
      </c>
      <c r="O273" s="104">
        <f t="shared" si="52"/>
        <v>2.5011693764025309</v>
      </c>
      <c r="P273" s="104">
        <f t="shared" si="45"/>
        <v>0</v>
      </c>
      <c r="Q273" s="105">
        <f t="shared" si="53"/>
        <v>-2.5011693764025309</v>
      </c>
      <c r="R273" s="105">
        <f t="shared" si="53"/>
        <v>0</v>
      </c>
      <c r="S273" s="104">
        <f t="shared" si="54"/>
        <v>0</v>
      </c>
      <c r="T273" s="104">
        <f t="shared" si="55"/>
        <v>0</v>
      </c>
      <c r="U273" s="104">
        <f t="shared" si="47"/>
        <v>0</v>
      </c>
      <c r="V273" s="103">
        <f t="shared" si="56"/>
        <v>0</v>
      </c>
      <c r="W273" s="103">
        <f t="shared" si="57"/>
        <v>0</v>
      </c>
      <c r="X273" s="103">
        <f t="shared" si="58"/>
        <v>0</v>
      </c>
      <c r="Z273" s="102"/>
      <c r="AA273" s="102"/>
    </row>
    <row r="274" spans="1:27" s="341" customFormat="1" x14ac:dyDescent="0.25">
      <c r="A274" s="530"/>
      <c r="B274" s="96">
        <v>68</v>
      </c>
      <c r="C274" s="110">
        <v>0</v>
      </c>
      <c r="D274" s="110">
        <f t="shared" si="59"/>
        <v>2760.7739999999999</v>
      </c>
      <c r="E274" s="109">
        <f t="shared" si="49"/>
        <v>0</v>
      </c>
      <c r="F274" s="108">
        <v>0</v>
      </c>
      <c r="G274" s="108">
        <v>0</v>
      </c>
      <c r="H274" s="107">
        <v>0</v>
      </c>
      <c r="I274" s="106">
        <f t="shared" si="50"/>
        <v>0</v>
      </c>
      <c r="J274" s="104">
        <f t="shared" si="50"/>
        <v>0</v>
      </c>
      <c r="K274" s="104">
        <f t="shared" si="51"/>
        <v>0</v>
      </c>
      <c r="L274" s="102">
        <v>0</v>
      </c>
      <c r="M274" s="104">
        <v>0</v>
      </c>
      <c r="N274" s="104">
        <v>0</v>
      </c>
      <c r="O274" s="104">
        <f t="shared" si="52"/>
        <v>2.5011693764025309</v>
      </c>
      <c r="P274" s="104">
        <f t="shared" si="45"/>
        <v>0</v>
      </c>
      <c r="Q274" s="105">
        <f t="shared" si="53"/>
        <v>-2.5011693764025309</v>
      </c>
      <c r="R274" s="105">
        <f t="shared" si="53"/>
        <v>0</v>
      </c>
      <c r="S274" s="104">
        <f t="shared" si="54"/>
        <v>0</v>
      </c>
      <c r="T274" s="104">
        <f t="shared" si="55"/>
        <v>0</v>
      </c>
      <c r="U274" s="104">
        <f t="shared" si="47"/>
        <v>0</v>
      </c>
      <c r="V274" s="103">
        <f t="shared" si="56"/>
        <v>0</v>
      </c>
      <c r="W274" s="103">
        <f t="shared" si="57"/>
        <v>0</v>
      </c>
      <c r="X274" s="103">
        <f t="shared" si="58"/>
        <v>0</v>
      </c>
      <c r="Z274" s="102"/>
      <c r="AA274" s="102"/>
    </row>
    <row r="275" spans="1:27" s="341" customFormat="1" x14ac:dyDescent="0.25">
      <c r="A275" s="530"/>
      <c r="B275" s="96">
        <v>69</v>
      </c>
      <c r="C275" s="110">
        <v>0</v>
      </c>
      <c r="D275" s="110">
        <f t="shared" si="59"/>
        <v>2760.7739999999999</v>
      </c>
      <c r="E275" s="109">
        <f t="shared" si="49"/>
        <v>0</v>
      </c>
      <c r="F275" s="108">
        <v>0</v>
      </c>
      <c r="G275" s="108">
        <v>0</v>
      </c>
      <c r="H275" s="107">
        <v>0</v>
      </c>
      <c r="I275" s="106">
        <f t="shared" si="50"/>
        <v>0</v>
      </c>
      <c r="J275" s="104">
        <f t="shared" si="50"/>
        <v>0</v>
      </c>
      <c r="K275" s="104">
        <f t="shared" si="51"/>
        <v>0</v>
      </c>
      <c r="L275" s="102">
        <v>0</v>
      </c>
      <c r="M275" s="104">
        <v>0</v>
      </c>
      <c r="N275" s="104">
        <v>0</v>
      </c>
      <c r="O275" s="104">
        <f t="shared" si="52"/>
        <v>2.5011693764025309</v>
      </c>
      <c r="P275" s="104">
        <f t="shared" si="45"/>
        <v>0</v>
      </c>
      <c r="Q275" s="105">
        <f t="shared" si="53"/>
        <v>-2.5011693764025309</v>
      </c>
      <c r="R275" s="105">
        <f t="shared" si="53"/>
        <v>0</v>
      </c>
      <c r="S275" s="104">
        <f t="shared" si="54"/>
        <v>0</v>
      </c>
      <c r="T275" s="104">
        <f t="shared" si="55"/>
        <v>0</v>
      </c>
      <c r="U275" s="104">
        <f t="shared" si="47"/>
        <v>0</v>
      </c>
      <c r="V275" s="103">
        <f t="shared" si="56"/>
        <v>0</v>
      </c>
      <c r="W275" s="103">
        <f t="shared" si="57"/>
        <v>0</v>
      </c>
      <c r="X275" s="103">
        <f t="shared" si="58"/>
        <v>0</v>
      </c>
      <c r="Z275" s="102"/>
      <c r="AA275" s="102"/>
    </row>
    <row r="276" spans="1:27" s="341" customFormat="1" x14ac:dyDescent="0.25">
      <c r="A276" s="530"/>
      <c r="B276" s="96">
        <v>70</v>
      </c>
      <c r="C276" s="110">
        <v>0</v>
      </c>
      <c r="D276" s="110">
        <f t="shared" si="59"/>
        <v>2760.7739999999999</v>
      </c>
      <c r="E276" s="109">
        <f t="shared" si="49"/>
        <v>0</v>
      </c>
      <c r="F276" s="108">
        <v>0</v>
      </c>
      <c r="G276" s="108">
        <v>0</v>
      </c>
      <c r="H276" s="107">
        <v>0</v>
      </c>
      <c r="I276" s="106">
        <f t="shared" si="50"/>
        <v>0</v>
      </c>
      <c r="J276" s="104">
        <f t="shared" si="50"/>
        <v>0</v>
      </c>
      <c r="K276" s="104">
        <f t="shared" si="51"/>
        <v>0</v>
      </c>
      <c r="L276" s="102">
        <v>0</v>
      </c>
      <c r="M276" s="104">
        <v>0</v>
      </c>
      <c r="N276" s="104">
        <v>0</v>
      </c>
      <c r="O276" s="104">
        <f t="shared" si="52"/>
        <v>2.5011693764025309</v>
      </c>
      <c r="P276" s="104">
        <f t="shared" si="45"/>
        <v>0</v>
      </c>
      <c r="Q276" s="105">
        <f t="shared" si="53"/>
        <v>-2.5011693764025309</v>
      </c>
      <c r="R276" s="105">
        <f t="shared" si="53"/>
        <v>0</v>
      </c>
      <c r="S276" s="104">
        <f t="shared" si="54"/>
        <v>0</v>
      </c>
      <c r="T276" s="104">
        <f t="shared" si="55"/>
        <v>0</v>
      </c>
      <c r="U276" s="104">
        <f t="shared" si="47"/>
        <v>0</v>
      </c>
      <c r="V276" s="103">
        <f t="shared" si="56"/>
        <v>0</v>
      </c>
      <c r="W276" s="103">
        <f t="shared" si="57"/>
        <v>0</v>
      </c>
      <c r="X276" s="103">
        <f t="shared" si="58"/>
        <v>0</v>
      </c>
      <c r="Z276" s="102"/>
      <c r="AA276" s="102"/>
    </row>
    <row r="277" spans="1:27" s="341" customFormat="1" x14ac:dyDescent="0.25">
      <c r="A277" s="530"/>
      <c r="B277" s="96">
        <v>71</v>
      </c>
      <c r="C277" s="110">
        <v>0</v>
      </c>
      <c r="D277" s="110">
        <f t="shared" si="59"/>
        <v>2760.7739999999999</v>
      </c>
      <c r="E277" s="109">
        <f t="shared" si="49"/>
        <v>0</v>
      </c>
      <c r="F277" s="108">
        <v>0</v>
      </c>
      <c r="G277" s="108">
        <v>0</v>
      </c>
      <c r="H277" s="107">
        <v>0</v>
      </c>
      <c r="I277" s="106">
        <f t="shared" si="50"/>
        <v>0</v>
      </c>
      <c r="J277" s="104">
        <f t="shared" si="50"/>
        <v>0</v>
      </c>
      <c r="K277" s="104">
        <f t="shared" si="51"/>
        <v>0</v>
      </c>
      <c r="L277" s="102">
        <v>0</v>
      </c>
      <c r="M277" s="104">
        <v>0</v>
      </c>
      <c r="N277" s="104">
        <v>0</v>
      </c>
      <c r="O277" s="104">
        <f t="shared" si="52"/>
        <v>2.5011693764025309</v>
      </c>
      <c r="P277" s="104">
        <f t="shared" si="45"/>
        <v>0</v>
      </c>
      <c r="Q277" s="105">
        <f t="shared" si="53"/>
        <v>-2.5011693764025309</v>
      </c>
      <c r="R277" s="105">
        <f t="shared" si="53"/>
        <v>0</v>
      </c>
      <c r="S277" s="104">
        <f t="shared" si="54"/>
        <v>0</v>
      </c>
      <c r="T277" s="104">
        <f t="shared" si="55"/>
        <v>0</v>
      </c>
      <c r="U277" s="104">
        <f t="shared" si="47"/>
        <v>0</v>
      </c>
      <c r="V277" s="103">
        <f t="shared" si="56"/>
        <v>0</v>
      </c>
      <c r="W277" s="103">
        <f t="shared" si="57"/>
        <v>0</v>
      </c>
      <c r="X277" s="103">
        <f t="shared" si="58"/>
        <v>0</v>
      </c>
      <c r="Z277" s="102"/>
      <c r="AA277" s="102"/>
    </row>
    <row r="278" spans="1:27" s="341" customFormat="1" x14ac:dyDescent="0.25">
      <c r="A278" s="530"/>
      <c r="B278" s="96">
        <v>72</v>
      </c>
      <c r="C278" s="110">
        <v>0</v>
      </c>
      <c r="D278" s="110">
        <f t="shared" si="59"/>
        <v>2760.7739999999999</v>
      </c>
      <c r="E278" s="109">
        <f t="shared" si="49"/>
        <v>0</v>
      </c>
      <c r="F278" s="108">
        <v>0</v>
      </c>
      <c r="G278" s="108">
        <v>0</v>
      </c>
      <c r="H278" s="107">
        <v>0</v>
      </c>
      <c r="I278" s="106">
        <f t="shared" si="50"/>
        <v>0</v>
      </c>
      <c r="J278" s="104">
        <f t="shared" si="50"/>
        <v>0</v>
      </c>
      <c r="K278" s="104">
        <f t="shared" si="51"/>
        <v>0</v>
      </c>
      <c r="L278" s="102">
        <v>0</v>
      </c>
      <c r="M278" s="104">
        <v>0</v>
      </c>
      <c r="N278" s="104">
        <v>0</v>
      </c>
      <c r="O278" s="104">
        <f t="shared" si="52"/>
        <v>2.5011693764025309</v>
      </c>
      <c r="P278" s="104">
        <f t="shared" si="45"/>
        <v>0</v>
      </c>
      <c r="Q278" s="105">
        <f t="shared" si="53"/>
        <v>-2.5011693764025309</v>
      </c>
      <c r="R278" s="105">
        <f t="shared" si="53"/>
        <v>0</v>
      </c>
      <c r="S278" s="104">
        <f t="shared" si="54"/>
        <v>0</v>
      </c>
      <c r="T278" s="104">
        <f t="shared" si="55"/>
        <v>0</v>
      </c>
      <c r="U278" s="104">
        <f t="shared" si="47"/>
        <v>0</v>
      </c>
      <c r="V278" s="103">
        <f t="shared" si="56"/>
        <v>0</v>
      </c>
      <c r="W278" s="103">
        <f t="shared" si="57"/>
        <v>0</v>
      </c>
      <c r="X278" s="103">
        <f t="shared" si="58"/>
        <v>0</v>
      </c>
      <c r="Z278" s="102"/>
      <c r="AA278" s="102"/>
    </row>
    <row r="279" spans="1:27" s="341" customFormat="1" x14ac:dyDescent="0.25">
      <c r="A279" s="530"/>
      <c r="B279" s="96">
        <v>73</v>
      </c>
      <c r="C279" s="110">
        <v>0</v>
      </c>
      <c r="D279" s="110">
        <f t="shared" si="59"/>
        <v>2760.7739999999999</v>
      </c>
      <c r="E279" s="109">
        <f t="shared" si="49"/>
        <v>0</v>
      </c>
      <c r="F279" s="108">
        <v>0</v>
      </c>
      <c r="G279" s="108">
        <v>0</v>
      </c>
      <c r="H279" s="107">
        <v>0</v>
      </c>
      <c r="I279" s="106">
        <f t="shared" si="50"/>
        <v>0</v>
      </c>
      <c r="J279" s="104">
        <f t="shared" si="50"/>
        <v>0</v>
      </c>
      <c r="K279" s="104">
        <f t="shared" si="51"/>
        <v>0</v>
      </c>
      <c r="L279" s="102">
        <v>0</v>
      </c>
      <c r="M279" s="104">
        <v>0</v>
      </c>
      <c r="N279" s="104">
        <v>0</v>
      </c>
      <c r="O279" s="104">
        <f t="shared" si="52"/>
        <v>2.5011693764025309</v>
      </c>
      <c r="P279" s="104">
        <f t="shared" si="45"/>
        <v>0</v>
      </c>
      <c r="Q279" s="105">
        <f t="shared" si="53"/>
        <v>-2.5011693764025309</v>
      </c>
      <c r="R279" s="105">
        <f t="shared" si="53"/>
        <v>0</v>
      </c>
      <c r="S279" s="104">
        <f t="shared" si="54"/>
        <v>0</v>
      </c>
      <c r="T279" s="104">
        <f t="shared" si="55"/>
        <v>0</v>
      </c>
      <c r="U279" s="104">
        <f t="shared" si="47"/>
        <v>0</v>
      </c>
      <c r="V279" s="103">
        <f t="shared" si="56"/>
        <v>0</v>
      </c>
      <c r="W279" s="103">
        <f t="shared" si="57"/>
        <v>0</v>
      </c>
      <c r="X279" s="103">
        <f t="shared" si="58"/>
        <v>0</v>
      </c>
      <c r="Z279" s="102"/>
      <c r="AA279" s="102"/>
    </row>
    <row r="280" spans="1:27" s="341" customFormat="1" x14ac:dyDescent="0.25">
      <c r="A280" s="530"/>
      <c r="B280" s="96">
        <v>74</v>
      </c>
      <c r="C280" s="110">
        <v>0</v>
      </c>
      <c r="D280" s="110">
        <f t="shared" si="59"/>
        <v>2760.7739999999999</v>
      </c>
      <c r="E280" s="109">
        <f t="shared" si="49"/>
        <v>0</v>
      </c>
      <c r="F280" s="108">
        <v>0</v>
      </c>
      <c r="G280" s="108">
        <v>0</v>
      </c>
      <c r="H280" s="107">
        <v>0</v>
      </c>
      <c r="I280" s="106">
        <f t="shared" si="50"/>
        <v>0</v>
      </c>
      <c r="J280" s="104">
        <f t="shared" si="50"/>
        <v>0</v>
      </c>
      <c r="K280" s="104">
        <f t="shared" si="51"/>
        <v>0</v>
      </c>
      <c r="L280" s="102">
        <v>0</v>
      </c>
      <c r="M280" s="104">
        <v>0</v>
      </c>
      <c r="N280" s="104">
        <v>0</v>
      </c>
      <c r="O280" s="104">
        <f t="shared" si="52"/>
        <v>2.5011693764025309</v>
      </c>
      <c r="P280" s="104">
        <f t="shared" si="45"/>
        <v>0</v>
      </c>
      <c r="Q280" s="105">
        <f t="shared" si="53"/>
        <v>-2.5011693764025309</v>
      </c>
      <c r="R280" s="105">
        <f t="shared" si="53"/>
        <v>0</v>
      </c>
      <c r="S280" s="104">
        <f t="shared" si="54"/>
        <v>0</v>
      </c>
      <c r="T280" s="104">
        <f t="shared" si="55"/>
        <v>0</v>
      </c>
      <c r="U280" s="104">
        <f t="shared" si="47"/>
        <v>0</v>
      </c>
      <c r="V280" s="103">
        <f t="shared" si="56"/>
        <v>0</v>
      </c>
      <c r="W280" s="103">
        <f t="shared" si="57"/>
        <v>0</v>
      </c>
      <c r="X280" s="103">
        <f t="shared" si="58"/>
        <v>0</v>
      </c>
      <c r="Z280" s="102"/>
      <c r="AA280" s="102"/>
    </row>
    <row r="281" spans="1:27" s="341" customFormat="1" x14ac:dyDescent="0.25">
      <c r="A281" s="530"/>
      <c r="B281" s="96">
        <v>75</v>
      </c>
      <c r="C281" s="110">
        <v>0</v>
      </c>
      <c r="D281" s="110">
        <f t="shared" si="59"/>
        <v>2760.7739999999999</v>
      </c>
      <c r="E281" s="109">
        <f t="shared" si="49"/>
        <v>0</v>
      </c>
      <c r="F281" s="108">
        <v>0</v>
      </c>
      <c r="G281" s="108">
        <v>0</v>
      </c>
      <c r="H281" s="107">
        <v>0</v>
      </c>
      <c r="I281" s="106">
        <f t="shared" si="50"/>
        <v>0</v>
      </c>
      <c r="J281" s="104">
        <f t="shared" si="50"/>
        <v>0</v>
      </c>
      <c r="K281" s="104">
        <f t="shared" si="51"/>
        <v>0</v>
      </c>
      <c r="L281" s="102">
        <v>0</v>
      </c>
      <c r="M281" s="104">
        <v>0</v>
      </c>
      <c r="N281" s="104">
        <v>0</v>
      </c>
      <c r="O281" s="104">
        <f t="shared" si="52"/>
        <v>2.5011693764025309</v>
      </c>
      <c r="P281" s="104">
        <f t="shared" si="45"/>
        <v>0</v>
      </c>
      <c r="Q281" s="105">
        <f t="shared" si="53"/>
        <v>-2.5011693764025309</v>
      </c>
      <c r="R281" s="105">
        <f t="shared" si="53"/>
        <v>0</v>
      </c>
      <c r="S281" s="104">
        <f t="shared" si="54"/>
        <v>0</v>
      </c>
      <c r="T281" s="104">
        <f t="shared" si="55"/>
        <v>0</v>
      </c>
      <c r="U281" s="104">
        <f t="shared" si="47"/>
        <v>0</v>
      </c>
      <c r="V281" s="103">
        <f t="shared" si="56"/>
        <v>0</v>
      </c>
      <c r="W281" s="103">
        <f t="shared" si="57"/>
        <v>0</v>
      </c>
      <c r="X281" s="103">
        <f t="shared" si="58"/>
        <v>0</v>
      </c>
      <c r="Z281" s="102"/>
      <c r="AA281" s="102"/>
    </row>
    <row r="282" spans="1:27" s="341" customFormat="1" x14ac:dyDescent="0.25">
      <c r="A282" s="530"/>
      <c r="B282" s="96">
        <v>76</v>
      </c>
      <c r="C282" s="110">
        <v>0</v>
      </c>
      <c r="D282" s="110">
        <f t="shared" si="59"/>
        <v>2760.7739999999999</v>
      </c>
      <c r="E282" s="109">
        <f t="shared" si="49"/>
        <v>0</v>
      </c>
      <c r="F282" s="108">
        <v>0</v>
      </c>
      <c r="G282" s="108">
        <v>0</v>
      </c>
      <c r="H282" s="107">
        <v>0</v>
      </c>
      <c r="I282" s="106">
        <f t="shared" si="50"/>
        <v>0</v>
      </c>
      <c r="J282" s="104">
        <f t="shared" si="50"/>
        <v>0</v>
      </c>
      <c r="K282" s="104">
        <f t="shared" si="51"/>
        <v>0</v>
      </c>
      <c r="L282" s="102">
        <v>0</v>
      </c>
      <c r="M282" s="104">
        <v>0</v>
      </c>
      <c r="N282" s="104">
        <v>0</v>
      </c>
      <c r="O282" s="104">
        <f t="shared" si="52"/>
        <v>2.5011693764025309</v>
      </c>
      <c r="P282" s="104">
        <f t="shared" si="45"/>
        <v>0</v>
      </c>
      <c r="Q282" s="105">
        <f t="shared" si="53"/>
        <v>-2.5011693764025309</v>
      </c>
      <c r="R282" s="105">
        <f t="shared" si="53"/>
        <v>0</v>
      </c>
      <c r="S282" s="104">
        <f t="shared" si="54"/>
        <v>0</v>
      </c>
      <c r="T282" s="104">
        <f t="shared" si="55"/>
        <v>0</v>
      </c>
      <c r="U282" s="104">
        <f t="shared" si="47"/>
        <v>0</v>
      </c>
      <c r="V282" s="103">
        <f t="shared" si="56"/>
        <v>0</v>
      </c>
      <c r="W282" s="103">
        <f t="shared" si="57"/>
        <v>0</v>
      </c>
      <c r="X282" s="103">
        <f t="shared" si="58"/>
        <v>0</v>
      </c>
      <c r="Z282" s="102"/>
      <c r="AA282" s="102"/>
    </row>
    <row r="283" spans="1:27" s="341" customFormat="1" x14ac:dyDescent="0.25">
      <c r="A283" s="530"/>
      <c r="B283" s="96">
        <v>77</v>
      </c>
      <c r="C283" s="110">
        <v>0</v>
      </c>
      <c r="D283" s="110">
        <f t="shared" si="59"/>
        <v>2760.7739999999999</v>
      </c>
      <c r="E283" s="109">
        <f t="shared" si="49"/>
        <v>0</v>
      </c>
      <c r="F283" s="108">
        <v>0</v>
      </c>
      <c r="G283" s="108">
        <v>0</v>
      </c>
      <c r="H283" s="107">
        <v>0</v>
      </c>
      <c r="I283" s="106">
        <f t="shared" si="50"/>
        <v>0</v>
      </c>
      <c r="J283" s="104">
        <f t="shared" si="50"/>
        <v>0</v>
      </c>
      <c r="K283" s="104">
        <f t="shared" si="51"/>
        <v>0</v>
      </c>
      <c r="L283" s="102">
        <v>0</v>
      </c>
      <c r="M283" s="104">
        <v>0</v>
      </c>
      <c r="N283" s="104">
        <v>0</v>
      </c>
      <c r="O283" s="104">
        <f t="shared" si="52"/>
        <v>2.5011693764025309</v>
      </c>
      <c r="P283" s="104">
        <f t="shared" si="45"/>
        <v>0</v>
      </c>
      <c r="Q283" s="105">
        <f t="shared" si="53"/>
        <v>-2.5011693764025309</v>
      </c>
      <c r="R283" s="105">
        <f t="shared" si="53"/>
        <v>0</v>
      </c>
      <c r="S283" s="104">
        <f t="shared" si="54"/>
        <v>0</v>
      </c>
      <c r="T283" s="104">
        <f t="shared" si="55"/>
        <v>0</v>
      </c>
      <c r="U283" s="104">
        <f t="shared" si="47"/>
        <v>0</v>
      </c>
      <c r="V283" s="103">
        <f t="shared" si="56"/>
        <v>0</v>
      </c>
      <c r="W283" s="103">
        <f t="shared" si="57"/>
        <v>0</v>
      </c>
      <c r="X283" s="103">
        <f t="shared" si="58"/>
        <v>0</v>
      </c>
      <c r="Z283" s="102"/>
      <c r="AA283" s="102"/>
    </row>
    <row r="284" spans="1:27" s="341" customFormat="1" x14ac:dyDescent="0.25">
      <c r="A284" s="530"/>
      <c r="B284" s="96">
        <v>78</v>
      </c>
      <c r="C284" s="110">
        <v>0</v>
      </c>
      <c r="D284" s="110">
        <f t="shared" si="59"/>
        <v>2760.7739999999999</v>
      </c>
      <c r="E284" s="109">
        <f t="shared" si="49"/>
        <v>0</v>
      </c>
      <c r="F284" s="108">
        <v>0</v>
      </c>
      <c r="G284" s="108">
        <v>0</v>
      </c>
      <c r="H284" s="107">
        <v>0</v>
      </c>
      <c r="I284" s="106">
        <f t="shared" si="50"/>
        <v>0</v>
      </c>
      <c r="J284" s="104">
        <f t="shared" si="50"/>
        <v>0</v>
      </c>
      <c r="K284" s="104">
        <f t="shared" si="51"/>
        <v>0</v>
      </c>
      <c r="L284" s="102">
        <v>0</v>
      </c>
      <c r="M284" s="104">
        <v>0</v>
      </c>
      <c r="N284" s="104">
        <v>0</v>
      </c>
      <c r="O284" s="104">
        <f t="shared" si="52"/>
        <v>2.5011693764025309</v>
      </c>
      <c r="P284" s="104">
        <f t="shared" si="45"/>
        <v>0</v>
      </c>
      <c r="Q284" s="105">
        <f t="shared" si="53"/>
        <v>-2.5011693764025309</v>
      </c>
      <c r="R284" s="105">
        <f t="shared" si="53"/>
        <v>0</v>
      </c>
      <c r="S284" s="104">
        <f t="shared" si="54"/>
        <v>0</v>
      </c>
      <c r="T284" s="104">
        <f t="shared" si="55"/>
        <v>0</v>
      </c>
      <c r="U284" s="104">
        <f t="shared" si="47"/>
        <v>0</v>
      </c>
      <c r="V284" s="103">
        <f t="shared" si="56"/>
        <v>0</v>
      </c>
      <c r="W284" s="103">
        <f t="shared" si="57"/>
        <v>0</v>
      </c>
      <c r="X284" s="103">
        <f t="shared" si="58"/>
        <v>0</v>
      </c>
      <c r="Z284" s="102"/>
      <c r="AA284" s="102"/>
    </row>
    <row r="285" spans="1:27" s="341" customFormat="1" x14ac:dyDescent="0.25">
      <c r="A285" s="530"/>
      <c r="B285" s="96">
        <v>79</v>
      </c>
      <c r="C285" s="110">
        <v>0</v>
      </c>
      <c r="D285" s="110">
        <f t="shared" si="59"/>
        <v>2760.7739999999999</v>
      </c>
      <c r="E285" s="109">
        <f t="shared" si="49"/>
        <v>0</v>
      </c>
      <c r="F285" s="108">
        <v>0</v>
      </c>
      <c r="G285" s="108">
        <v>0</v>
      </c>
      <c r="H285" s="107">
        <v>0</v>
      </c>
      <c r="I285" s="106">
        <f t="shared" si="50"/>
        <v>0</v>
      </c>
      <c r="J285" s="104">
        <f t="shared" si="50"/>
        <v>0</v>
      </c>
      <c r="K285" s="104">
        <f t="shared" si="51"/>
        <v>0</v>
      </c>
      <c r="L285" s="102">
        <v>0</v>
      </c>
      <c r="M285" s="104">
        <v>0</v>
      </c>
      <c r="N285" s="104">
        <v>0</v>
      </c>
      <c r="O285" s="104">
        <f t="shared" si="52"/>
        <v>2.5011693764025309</v>
      </c>
      <c r="P285" s="104">
        <f t="shared" si="45"/>
        <v>0</v>
      </c>
      <c r="Q285" s="105">
        <f t="shared" si="53"/>
        <v>-2.5011693764025309</v>
      </c>
      <c r="R285" s="105">
        <f t="shared" si="53"/>
        <v>0</v>
      </c>
      <c r="S285" s="104">
        <f t="shared" si="54"/>
        <v>0</v>
      </c>
      <c r="T285" s="104">
        <f t="shared" si="55"/>
        <v>0</v>
      </c>
      <c r="U285" s="104">
        <f t="shared" si="47"/>
        <v>0</v>
      </c>
      <c r="V285" s="103">
        <f t="shared" si="56"/>
        <v>0</v>
      </c>
      <c r="W285" s="103">
        <f t="shared" si="57"/>
        <v>0</v>
      </c>
      <c r="X285" s="103">
        <f t="shared" si="58"/>
        <v>0</v>
      </c>
      <c r="Z285" s="102"/>
      <c r="AA285" s="102"/>
    </row>
    <row r="286" spans="1:27" s="341" customFormat="1" x14ac:dyDescent="0.25">
      <c r="A286" s="530"/>
      <c r="B286" s="96">
        <v>80</v>
      </c>
      <c r="C286" s="110">
        <v>0</v>
      </c>
      <c r="D286" s="110">
        <f t="shared" si="59"/>
        <v>2760.7739999999999</v>
      </c>
      <c r="E286" s="109">
        <f t="shared" si="49"/>
        <v>0</v>
      </c>
      <c r="F286" s="108">
        <v>0</v>
      </c>
      <c r="G286" s="108">
        <v>0</v>
      </c>
      <c r="H286" s="107">
        <v>0</v>
      </c>
      <c r="I286" s="106">
        <f t="shared" si="50"/>
        <v>0</v>
      </c>
      <c r="J286" s="104">
        <f t="shared" si="50"/>
        <v>0</v>
      </c>
      <c r="K286" s="104">
        <f t="shared" si="51"/>
        <v>0</v>
      </c>
      <c r="L286" s="102">
        <v>0</v>
      </c>
      <c r="M286" s="104">
        <v>0</v>
      </c>
      <c r="N286" s="104">
        <v>0</v>
      </c>
      <c r="O286" s="104">
        <f t="shared" si="52"/>
        <v>2.5011693764025309</v>
      </c>
      <c r="P286" s="104">
        <f t="shared" si="45"/>
        <v>0</v>
      </c>
      <c r="Q286" s="105">
        <f t="shared" si="53"/>
        <v>-2.5011693764025309</v>
      </c>
      <c r="R286" s="105">
        <f t="shared" si="53"/>
        <v>0</v>
      </c>
      <c r="S286" s="104">
        <f t="shared" si="54"/>
        <v>0</v>
      </c>
      <c r="T286" s="104">
        <f t="shared" si="55"/>
        <v>0</v>
      </c>
      <c r="U286" s="104">
        <f t="shared" si="47"/>
        <v>0</v>
      </c>
      <c r="V286" s="103">
        <f t="shared" si="56"/>
        <v>0</v>
      </c>
      <c r="W286" s="103">
        <f t="shared" si="57"/>
        <v>0</v>
      </c>
      <c r="X286" s="103">
        <f t="shared" si="58"/>
        <v>0</v>
      </c>
      <c r="Z286" s="102"/>
      <c r="AA286" s="102"/>
    </row>
    <row r="287" spans="1:27" s="341" customFormat="1" x14ac:dyDescent="0.25">
      <c r="A287" s="530"/>
      <c r="B287" s="96">
        <v>81</v>
      </c>
      <c r="C287" s="110">
        <v>0</v>
      </c>
      <c r="D287" s="110">
        <f t="shared" si="59"/>
        <v>2760.7739999999999</v>
      </c>
      <c r="E287" s="109">
        <f t="shared" si="49"/>
        <v>0</v>
      </c>
      <c r="F287" s="108">
        <v>0</v>
      </c>
      <c r="G287" s="108">
        <v>0</v>
      </c>
      <c r="H287" s="107">
        <v>0</v>
      </c>
      <c r="I287" s="106">
        <f t="shared" si="50"/>
        <v>0</v>
      </c>
      <c r="J287" s="104">
        <f t="shared" si="50"/>
        <v>0</v>
      </c>
      <c r="K287" s="104">
        <f t="shared" si="51"/>
        <v>0</v>
      </c>
      <c r="L287" s="102">
        <v>0</v>
      </c>
      <c r="M287" s="104">
        <v>0</v>
      </c>
      <c r="N287" s="104">
        <v>0</v>
      </c>
      <c r="O287" s="104">
        <f t="shared" si="52"/>
        <v>2.5011693764025309</v>
      </c>
      <c r="P287" s="104">
        <f t="shared" si="45"/>
        <v>0</v>
      </c>
      <c r="Q287" s="105">
        <f t="shared" si="53"/>
        <v>-2.5011693764025309</v>
      </c>
      <c r="R287" s="105">
        <f t="shared" si="53"/>
        <v>0</v>
      </c>
      <c r="S287" s="104">
        <f t="shared" si="54"/>
        <v>0</v>
      </c>
      <c r="T287" s="104">
        <f t="shared" si="55"/>
        <v>0</v>
      </c>
      <c r="U287" s="104">
        <f t="shared" si="47"/>
        <v>0</v>
      </c>
      <c r="V287" s="103">
        <f t="shared" si="56"/>
        <v>0</v>
      </c>
      <c r="W287" s="103">
        <f t="shared" si="57"/>
        <v>0</v>
      </c>
      <c r="X287" s="103">
        <f t="shared" si="58"/>
        <v>0</v>
      </c>
      <c r="Z287" s="102"/>
      <c r="AA287" s="102"/>
    </row>
    <row r="288" spans="1:27" s="341" customFormat="1" x14ac:dyDescent="0.25">
      <c r="A288" s="530"/>
      <c r="B288" s="96">
        <v>82</v>
      </c>
      <c r="C288" s="110">
        <v>0</v>
      </c>
      <c r="D288" s="110">
        <f t="shared" si="59"/>
        <v>2760.7739999999999</v>
      </c>
      <c r="E288" s="109">
        <f t="shared" si="49"/>
        <v>0</v>
      </c>
      <c r="F288" s="108">
        <v>0</v>
      </c>
      <c r="G288" s="108">
        <v>0</v>
      </c>
      <c r="H288" s="107">
        <v>0</v>
      </c>
      <c r="I288" s="106">
        <f t="shared" si="50"/>
        <v>0</v>
      </c>
      <c r="J288" s="104">
        <f t="shared" si="50"/>
        <v>0</v>
      </c>
      <c r="K288" s="104">
        <f t="shared" si="51"/>
        <v>0</v>
      </c>
      <c r="L288" s="102">
        <v>0</v>
      </c>
      <c r="M288" s="104">
        <v>0</v>
      </c>
      <c r="N288" s="104">
        <v>0</v>
      </c>
      <c r="O288" s="104">
        <f t="shared" si="52"/>
        <v>2.5011693764025309</v>
      </c>
      <c r="P288" s="104">
        <f t="shared" si="45"/>
        <v>0</v>
      </c>
      <c r="Q288" s="105">
        <f t="shared" si="53"/>
        <v>-2.5011693764025309</v>
      </c>
      <c r="R288" s="105">
        <f t="shared" si="53"/>
        <v>0</v>
      </c>
      <c r="S288" s="104">
        <f t="shared" si="54"/>
        <v>0</v>
      </c>
      <c r="T288" s="104">
        <f t="shared" si="55"/>
        <v>0</v>
      </c>
      <c r="U288" s="104">
        <f t="shared" si="47"/>
        <v>0</v>
      </c>
      <c r="V288" s="103">
        <f t="shared" si="56"/>
        <v>0</v>
      </c>
      <c r="W288" s="103">
        <f t="shared" si="57"/>
        <v>0</v>
      </c>
      <c r="X288" s="103">
        <f t="shared" si="58"/>
        <v>0</v>
      </c>
      <c r="Z288" s="102"/>
      <c r="AA288" s="102"/>
    </row>
    <row r="289" spans="1:27" s="341" customFormat="1" x14ac:dyDescent="0.25">
      <c r="A289" s="530"/>
      <c r="B289" s="96">
        <v>83</v>
      </c>
      <c r="C289" s="110">
        <v>0</v>
      </c>
      <c r="D289" s="110">
        <f t="shared" si="59"/>
        <v>2760.7739999999999</v>
      </c>
      <c r="E289" s="109">
        <f t="shared" si="49"/>
        <v>0</v>
      </c>
      <c r="F289" s="108">
        <v>0</v>
      </c>
      <c r="G289" s="108">
        <v>0</v>
      </c>
      <c r="H289" s="107">
        <v>0</v>
      </c>
      <c r="I289" s="106">
        <f t="shared" si="50"/>
        <v>0</v>
      </c>
      <c r="J289" s="104">
        <f t="shared" si="50"/>
        <v>0</v>
      </c>
      <c r="K289" s="104">
        <f t="shared" si="51"/>
        <v>0</v>
      </c>
      <c r="L289" s="102">
        <v>0</v>
      </c>
      <c r="M289" s="104">
        <v>0</v>
      </c>
      <c r="N289" s="104">
        <v>0</v>
      </c>
      <c r="O289" s="104">
        <f t="shared" si="52"/>
        <v>2.5011693764025309</v>
      </c>
      <c r="P289" s="104">
        <f t="shared" si="45"/>
        <v>0</v>
      </c>
      <c r="Q289" s="105">
        <f t="shared" si="53"/>
        <v>-2.5011693764025309</v>
      </c>
      <c r="R289" s="105">
        <f t="shared" si="53"/>
        <v>0</v>
      </c>
      <c r="S289" s="104">
        <f t="shared" si="54"/>
        <v>0</v>
      </c>
      <c r="T289" s="104">
        <f t="shared" si="55"/>
        <v>0</v>
      </c>
      <c r="U289" s="104">
        <f t="shared" si="47"/>
        <v>0</v>
      </c>
      <c r="V289" s="103">
        <f t="shared" si="56"/>
        <v>0</v>
      </c>
      <c r="W289" s="103">
        <f t="shared" si="57"/>
        <v>0</v>
      </c>
      <c r="X289" s="103">
        <f t="shared" si="58"/>
        <v>0</v>
      </c>
      <c r="Z289" s="102"/>
      <c r="AA289" s="102"/>
    </row>
    <row r="290" spans="1:27" s="341" customFormat="1" x14ac:dyDescent="0.25">
      <c r="A290" s="530"/>
      <c r="B290" s="96">
        <v>84</v>
      </c>
      <c r="C290" s="110">
        <v>0</v>
      </c>
      <c r="D290" s="110">
        <f t="shared" si="59"/>
        <v>2760.7739999999999</v>
      </c>
      <c r="E290" s="109">
        <f t="shared" si="49"/>
        <v>0</v>
      </c>
      <c r="F290" s="108">
        <v>0</v>
      </c>
      <c r="G290" s="108">
        <v>0</v>
      </c>
      <c r="H290" s="107">
        <v>0</v>
      </c>
      <c r="I290" s="106">
        <f t="shared" si="50"/>
        <v>0</v>
      </c>
      <c r="J290" s="104">
        <f t="shared" si="50"/>
        <v>0</v>
      </c>
      <c r="K290" s="104">
        <f t="shared" si="51"/>
        <v>0</v>
      </c>
      <c r="L290" s="102">
        <v>0</v>
      </c>
      <c r="M290" s="104">
        <v>0</v>
      </c>
      <c r="N290" s="104">
        <v>0</v>
      </c>
      <c r="O290" s="104">
        <f t="shared" si="52"/>
        <v>2.5011693764025309</v>
      </c>
      <c r="P290" s="104">
        <f t="shared" si="45"/>
        <v>0</v>
      </c>
      <c r="Q290" s="105">
        <f t="shared" si="53"/>
        <v>-2.5011693764025309</v>
      </c>
      <c r="R290" s="105">
        <f t="shared" si="53"/>
        <v>0</v>
      </c>
      <c r="S290" s="104">
        <f t="shared" si="54"/>
        <v>0</v>
      </c>
      <c r="T290" s="104">
        <f t="shared" si="55"/>
        <v>0</v>
      </c>
      <c r="U290" s="104">
        <f t="shared" si="47"/>
        <v>0</v>
      </c>
      <c r="V290" s="103">
        <f t="shared" si="56"/>
        <v>0</v>
      </c>
      <c r="W290" s="103">
        <f t="shared" si="57"/>
        <v>0</v>
      </c>
      <c r="X290" s="103">
        <f t="shared" si="58"/>
        <v>0</v>
      </c>
      <c r="Z290" s="102"/>
      <c r="AA290" s="102"/>
    </row>
    <row r="291" spans="1:27" s="341" customFormat="1" x14ac:dyDescent="0.25">
      <c r="A291" s="530"/>
      <c r="B291" s="96">
        <v>85</v>
      </c>
      <c r="C291" s="110">
        <v>0</v>
      </c>
      <c r="D291" s="110">
        <f t="shared" si="59"/>
        <v>2760.7739999999999</v>
      </c>
      <c r="E291" s="109">
        <f t="shared" si="49"/>
        <v>0</v>
      </c>
      <c r="F291" s="108">
        <v>0</v>
      </c>
      <c r="G291" s="108">
        <v>0</v>
      </c>
      <c r="H291" s="107">
        <v>0</v>
      </c>
      <c r="I291" s="106">
        <f t="shared" si="50"/>
        <v>0</v>
      </c>
      <c r="J291" s="104">
        <f t="shared" si="50"/>
        <v>0</v>
      </c>
      <c r="K291" s="104">
        <f t="shared" si="51"/>
        <v>0</v>
      </c>
      <c r="L291" s="102">
        <v>0</v>
      </c>
      <c r="M291" s="104">
        <v>0</v>
      </c>
      <c r="N291" s="104">
        <v>0</v>
      </c>
      <c r="O291" s="104">
        <f t="shared" si="52"/>
        <v>2.5011693764025309</v>
      </c>
      <c r="P291" s="104">
        <f t="shared" si="45"/>
        <v>0</v>
      </c>
      <c r="Q291" s="105">
        <f t="shared" si="53"/>
        <v>-2.5011693764025309</v>
      </c>
      <c r="R291" s="105">
        <f t="shared" si="53"/>
        <v>0</v>
      </c>
      <c r="S291" s="104">
        <f t="shared" si="54"/>
        <v>0</v>
      </c>
      <c r="T291" s="104">
        <f t="shared" si="55"/>
        <v>0</v>
      </c>
      <c r="U291" s="104">
        <f t="shared" si="47"/>
        <v>0</v>
      </c>
      <c r="V291" s="103">
        <f t="shared" si="56"/>
        <v>0</v>
      </c>
      <c r="W291" s="103">
        <f t="shared" si="57"/>
        <v>0</v>
      </c>
      <c r="X291" s="103">
        <f t="shared" si="58"/>
        <v>0</v>
      </c>
      <c r="Z291" s="102"/>
      <c r="AA291" s="102"/>
    </row>
    <row r="292" spans="1:27" s="341" customFormat="1" x14ac:dyDescent="0.25">
      <c r="A292" s="530"/>
      <c r="B292" s="96">
        <v>86</v>
      </c>
      <c r="C292" s="110">
        <v>0</v>
      </c>
      <c r="D292" s="110">
        <f t="shared" si="59"/>
        <v>2760.7739999999999</v>
      </c>
      <c r="E292" s="109">
        <f t="shared" si="49"/>
        <v>0</v>
      </c>
      <c r="F292" s="108">
        <v>0</v>
      </c>
      <c r="G292" s="108">
        <v>0</v>
      </c>
      <c r="H292" s="107">
        <v>0</v>
      </c>
      <c r="I292" s="106">
        <f t="shared" si="50"/>
        <v>0</v>
      </c>
      <c r="J292" s="104">
        <f t="shared" si="50"/>
        <v>0</v>
      </c>
      <c r="K292" s="104">
        <f t="shared" si="51"/>
        <v>0</v>
      </c>
      <c r="L292" s="102">
        <v>0</v>
      </c>
      <c r="M292" s="104">
        <v>0</v>
      </c>
      <c r="N292" s="104">
        <v>0</v>
      </c>
      <c r="O292" s="104">
        <f t="shared" si="52"/>
        <v>2.5011693764025309</v>
      </c>
      <c r="P292" s="104">
        <f t="shared" si="45"/>
        <v>0</v>
      </c>
      <c r="Q292" s="105">
        <f t="shared" si="53"/>
        <v>-2.5011693764025309</v>
      </c>
      <c r="R292" s="105">
        <f t="shared" si="53"/>
        <v>0</v>
      </c>
      <c r="S292" s="104">
        <f t="shared" si="54"/>
        <v>0</v>
      </c>
      <c r="T292" s="104">
        <f t="shared" si="55"/>
        <v>0</v>
      </c>
      <c r="U292" s="104">
        <f t="shared" si="47"/>
        <v>0</v>
      </c>
      <c r="V292" s="103">
        <f t="shared" si="56"/>
        <v>0</v>
      </c>
      <c r="W292" s="103">
        <f t="shared" si="57"/>
        <v>0</v>
      </c>
      <c r="X292" s="103">
        <f t="shared" si="58"/>
        <v>0</v>
      </c>
      <c r="Z292" s="102"/>
      <c r="AA292" s="102"/>
    </row>
    <row r="293" spans="1:27" s="341" customFormat="1" x14ac:dyDescent="0.25">
      <c r="A293" s="530"/>
      <c r="B293" s="96">
        <v>87</v>
      </c>
      <c r="C293" s="110">
        <v>0</v>
      </c>
      <c r="D293" s="110">
        <f t="shared" si="59"/>
        <v>2760.7739999999999</v>
      </c>
      <c r="E293" s="109">
        <f t="shared" si="49"/>
        <v>0</v>
      </c>
      <c r="F293" s="108">
        <v>0</v>
      </c>
      <c r="G293" s="108">
        <v>0</v>
      </c>
      <c r="H293" s="107">
        <v>0</v>
      </c>
      <c r="I293" s="106">
        <f t="shared" si="50"/>
        <v>0</v>
      </c>
      <c r="J293" s="104">
        <f t="shared" si="50"/>
        <v>0</v>
      </c>
      <c r="K293" s="104">
        <f t="shared" si="51"/>
        <v>0</v>
      </c>
      <c r="L293" s="102">
        <v>0</v>
      </c>
      <c r="M293" s="104">
        <v>0</v>
      </c>
      <c r="N293" s="104">
        <v>0</v>
      </c>
      <c r="O293" s="104">
        <f t="shared" si="52"/>
        <v>2.5011693764025309</v>
      </c>
      <c r="P293" s="104">
        <f t="shared" si="45"/>
        <v>0</v>
      </c>
      <c r="Q293" s="105">
        <f t="shared" si="53"/>
        <v>-2.5011693764025309</v>
      </c>
      <c r="R293" s="105">
        <f t="shared" si="53"/>
        <v>0</v>
      </c>
      <c r="S293" s="104">
        <f t="shared" si="54"/>
        <v>0</v>
      </c>
      <c r="T293" s="104">
        <f t="shared" si="55"/>
        <v>0</v>
      </c>
      <c r="U293" s="104">
        <f t="shared" si="47"/>
        <v>0</v>
      </c>
      <c r="V293" s="103">
        <f t="shared" si="56"/>
        <v>0</v>
      </c>
      <c r="W293" s="103">
        <f t="shared" si="57"/>
        <v>0</v>
      </c>
      <c r="X293" s="103">
        <f t="shared" si="58"/>
        <v>0</v>
      </c>
      <c r="Z293" s="102"/>
      <c r="AA293" s="102"/>
    </row>
    <row r="294" spans="1:27" s="341" customFormat="1" x14ac:dyDescent="0.25">
      <c r="A294" s="530"/>
      <c r="B294" s="96">
        <v>88</v>
      </c>
      <c r="C294" s="110">
        <v>0</v>
      </c>
      <c r="D294" s="110">
        <f t="shared" si="59"/>
        <v>2760.7739999999999</v>
      </c>
      <c r="E294" s="109">
        <f t="shared" si="49"/>
        <v>0</v>
      </c>
      <c r="F294" s="108">
        <v>0</v>
      </c>
      <c r="G294" s="108">
        <v>0</v>
      </c>
      <c r="H294" s="107">
        <v>0</v>
      </c>
      <c r="I294" s="106">
        <f t="shared" si="50"/>
        <v>0</v>
      </c>
      <c r="J294" s="104">
        <f t="shared" si="50"/>
        <v>0</v>
      </c>
      <c r="K294" s="104">
        <f t="shared" si="51"/>
        <v>0</v>
      </c>
      <c r="L294" s="102">
        <v>0</v>
      </c>
      <c r="M294" s="104">
        <v>0</v>
      </c>
      <c r="N294" s="104">
        <v>0</v>
      </c>
      <c r="O294" s="104">
        <f t="shared" si="52"/>
        <v>2.5011693764025309</v>
      </c>
      <c r="P294" s="104">
        <f t="shared" si="45"/>
        <v>0</v>
      </c>
      <c r="Q294" s="105">
        <f t="shared" si="53"/>
        <v>-2.5011693764025309</v>
      </c>
      <c r="R294" s="105">
        <f t="shared" si="53"/>
        <v>0</v>
      </c>
      <c r="S294" s="104">
        <f t="shared" si="54"/>
        <v>0</v>
      </c>
      <c r="T294" s="104">
        <f t="shared" si="55"/>
        <v>0</v>
      </c>
      <c r="U294" s="104">
        <f t="shared" si="47"/>
        <v>0</v>
      </c>
      <c r="V294" s="103">
        <f t="shared" si="56"/>
        <v>0</v>
      </c>
      <c r="W294" s="103">
        <f t="shared" si="57"/>
        <v>0</v>
      </c>
      <c r="X294" s="103">
        <f t="shared" si="58"/>
        <v>0</v>
      </c>
      <c r="Z294" s="102"/>
      <c r="AA294" s="102"/>
    </row>
    <row r="295" spans="1:27" s="341" customFormat="1" x14ac:dyDescent="0.25">
      <c r="A295" s="530"/>
      <c r="B295" s="96">
        <v>89</v>
      </c>
      <c r="C295" s="110">
        <v>0</v>
      </c>
      <c r="D295" s="110">
        <f t="shared" si="59"/>
        <v>2760.7739999999999</v>
      </c>
      <c r="E295" s="109">
        <f t="shared" si="49"/>
        <v>0</v>
      </c>
      <c r="F295" s="108">
        <v>0</v>
      </c>
      <c r="G295" s="108">
        <v>0</v>
      </c>
      <c r="H295" s="107">
        <v>0</v>
      </c>
      <c r="I295" s="106">
        <f t="shared" si="50"/>
        <v>0</v>
      </c>
      <c r="J295" s="104">
        <f t="shared" si="50"/>
        <v>0</v>
      </c>
      <c r="K295" s="104">
        <f t="shared" si="51"/>
        <v>0</v>
      </c>
      <c r="L295" s="104">
        <v>0</v>
      </c>
      <c r="M295" s="104">
        <v>0</v>
      </c>
      <c r="N295" s="104">
        <v>0</v>
      </c>
      <c r="O295" s="104">
        <f t="shared" si="52"/>
        <v>2.5011693764025309</v>
      </c>
      <c r="P295" s="104">
        <f t="shared" si="45"/>
        <v>0</v>
      </c>
      <c r="Q295" s="105">
        <f t="shared" si="53"/>
        <v>-2.5011693764025309</v>
      </c>
      <c r="R295" s="105">
        <f t="shared" si="53"/>
        <v>0</v>
      </c>
      <c r="S295" s="104">
        <f t="shared" si="54"/>
        <v>0</v>
      </c>
      <c r="T295" s="104">
        <f t="shared" si="55"/>
        <v>0</v>
      </c>
      <c r="U295" s="104">
        <f t="shared" si="47"/>
        <v>0</v>
      </c>
      <c r="V295" s="103">
        <f t="shared" si="56"/>
        <v>0</v>
      </c>
      <c r="W295" s="103">
        <f t="shared" si="57"/>
        <v>0</v>
      </c>
      <c r="X295" s="103">
        <f t="shared" si="58"/>
        <v>0</v>
      </c>
      <c r="Z295" s="102"/>
      <c r="AA295" s="102"/>
    </row>
    <row r="296" spans="1:27" s="341" customFormat="1" x14ac:dyDescent="0.25">
      <c r="A296" s="530"/>
      <c r="B296" s="96">
        <v>90</v>
      </c>
      <c r="C296" s="110">
        <v>0</v>
      </c>
      <c r="D296" s="110">
        <f t="shared" si="59"/>
        <v>2760.7739999999999</v>
      </c>
      <c r="E296" s="109">
        <f t="shared" si="49"/>
        <v>0</v>
      </c>
      <c r="F296" s="108">
        <v>0</v>
      </c>
      <c r="G296" s="108">
        <v>0</v>
      </c>
      <c r="H296" s="107">
        <v>0</v>
      </c>
      <c r="I296" s="106">
        <f t="shared" si="50"/>
        <v>0</v>
      </c>
      <c r="J296" s="104">
        <f t="shared" si="50"/>
        <v>0</v>
      </c>
      <c r="K296" s="104">
        <f t="shared" si="51"/>
        <v>0</v>
      </c>
      <c r="L296" s="104">
        <v>0</v>
      </c>
      <c r="M296" s="104">
        <v>0</v>
      </c>
      <c r="N296" s="104">
        <v>0</v>
      </c>
      <c r="O296" s="104">
        <f t="shared" si="52"/>
        <v>2.5011693764025309</v>
      </c>
      <c r="P296" s="104">
        <f t="shared" si="45"/>
        <v>0</v>
      </c>
      <c r="Q296" s="105">
        <f t="shared" si="53"/>
        <v>-2.5011693764025309</v>
      </c>
      <c r="R296" s="105">
        <f t="shared" si="53"/>
        <v>0</v>
      </c>
      <c r="S296" s="104">
        <f t="shared" si="54"/>
        <v>0</v>
      </c>
      <c r="T296" s="104">
        <f t="shared" si="55"/>
        <v>0</v>
      </c>
      <c r="U296" s="104">
        <f t="shared" si="47"/>
        <v>0</v>
      </c>
      <c r="V296" s="103">
        <f t="shared" si="56"/>
        <v>0</v>
      </c>
      <c r="W296" s="103">
        <f t="shared" si="57"/>
        <v>0</v>
      </c>
      <c r="X296" s="103">
        <f t="shared" si="58"/>
        <v>0</v>
      </c>
      <c r="Z296" s="102"/>
      <c r="AA296" s="102"/>
    </row>
    <row r="297" spans="1:27" s="341" customFormat="1" x14ac:dyDescent="0.25">
      <c r="A297" s="530"/>
      <c r="B297" s="96">
        <v>91</v>
      </c>
      <c r="C297" s="110">
        <v>0</v>
      </c>
      <c r="D297" s="110">
        <f t="shared" si="59"/>
        <v>2760.7739999999999</v>
      </c>
      <c r="E297" s="109">
        <f t="shared" si="49"/>
        <v>0</v>
      </c>
      <c r="F297" s="108">
        <v>0</v>
      </c>
      <c r="G297" s="108">
        <v>0</v>
      </c>
      <c r="H297" s="107">
        <v>0</v>
      </c>
      <c r="I297" s="106">
        <f t="shared" si="50"/>
        <v>0</v>
      </c>
      <c r="J297" s="104">
        <f t="shared" si="50"/>
        <v>0</v>
      </c>
      <c r="K297" s="104">
        <f t="shared" si="51"/>
        <v>0</v>
      </c>
      <c r="L297" s="104">
        <v>0</v>
      </c>
      <c r="M297" s="104">
        <v>0</v>
      </c>
      <c r="N297" s="104">
        <v>0</v>
      </c>
      <c r="O297" s="104">
        <f t="shared" si="52"/>
        <v>2.5011693764025309</v>
      </c>
      <c r="P297" s="104">
        <f t="shared" si="45"/>
        <v>0</v>
      </c>
      <c r="Q297" s="105">
        <f t="shared" si="53"/>
        <v>-2.5011693764025309</v>
      </c>
      <c r="R297" s="105">
        <f t="shared" si="53"/>
        <v>0</v>
      </c>
      <c r="S297" s="104">
        <f t="shared" si="54"/>
        <v>0</v>
      </c>
      <c r="T297" s="104">
        <f t="shared" si="55"/>
        <v>0</v>
      </c>
      <c r="U297" s="104">
        <f t="shared" si="47"/>
        <v>0</v>
      </c>
      <c r="V297" s="103">
        <f t="shared" si="56"/>
        <v>0</v>
      </c>
      <c r="W297" s="103">
        <f t="shared" si="57"/>
        <v>0</v>
      </c>
      <c r="X297" s="103">
        <f t="shared" si="58"/>
        <v>0</v>
      </c>
      <c r="Z297" s="102"/>
      <c r="AA297" s="102"/>
    </row>
    <row r="298" spans="1:27" s="341" customFormat="1" x14ac:dyDescent="0.25">
      <c r="A298" s="530"/>
      <c r="B298" s="96">
        <v>92</v>
      </c>
      <c r="C298" s="110">
        <v>0</v>
      </c>
      <c r="D298" s="110">
        <f t="shared" si="59"/>
        <v>2760.7739999999999</v>
      </c>
      <c r="E298" s="109">
        <f t="shared" si="49"/>
        <v>0</v>
      </c>
      <c r="F298" s="108">
        <v>0</v>
      </c>
      <c r="G298" s="108">
        <v>0</v>
      </c>
      <c r="H298" s="107">
        <v>0</v>
      </c>
      <c r="I298" s="106">
        <f t="shared" si="50"/>
        <v>0</v>
      </c>
      <c r="J298" s="104">
        <f t="shared" si="50"/>
        <v>0</v>
      </c>
      <c r="K298" s="104">
        <f t="shared" si="51"/>
        <v>0</v>
      </c>
      <c r="L298" s="104">
        <v>0</v>
      </c>
      <c r="M298" s="104">
        <v>0</v>
      </c>
      <c r="N298" s="104">
        <v>0</v>
      </c>
      <c r="O298" s="104">
        <f t="shared" si="52"/>
        <v>2.5011693764025309</v>
      </c>
      <c r="P298" s="104">
        <f t="shared" si="45"/>
        <v>0</v>
      </c>
      <c r="Q298" s="105">
        <f t="shared" si="53"/>
        <v>-2.5011693764025309</v>
      </c>
      <c r="R298" s="105">
        <f t="shared" si="53"/>
        <v>0</v>
      </c>
      <c r="S298" s="104">
        <f t="shared" si="54"/>
        <v>0</v>
      </c>
      <c r="T298" s="104">
        <f t="shared" si="55"/>
        <v>0</v>
      </c>
      <c r="U298" s="104">
        <f t="shared" si="47"/>
        <v>0</v>
      </c>
      <c r="V298" s="103">
        <f t="shared" si="56"/>
        <v>0</v>
      </c>
      <c r="W298" s="103">
        <f t="shared" si="57"/>
        <v>0</v>
      </c>
      <c r="X298" s="103">
        <f t="shared" si="58"/>
        <v>0</v>
      </c>
      <c r="Z298" s="102"/>
      <c r="AA298" s="102"/>
    </row>
    <row r="299" spans="1:27" s="341" customFormat="1" x14ac:dyDescent="0.25">
      <c r="A299" s="530"/>
      <c r="B299" s="96">
        <v>93</v>
      </c>
      <c r="C299" s="110">
        <v>0</v>
      </c>
      <c r="D299" s="110">
        <f t="shared" si="59"/>
        <v>2760.7739999999999</v>
      </c>
      <c r="E299" s="109">
        <f t="shared" si="49"/>
        <v>0</v>
      </c>
      <c r="F299" s="108">
        <v>0</v>
      </c>
      <c r="G299" s="108">
        <v>0</v>
      </c>
      <c r="H299" s="107">
        <v>0</v>
      </c>
      <c r="I299" s="106">
        <f t="shared" si="50"/>
        <v>0</v>
      </c>
      <c r="J299" s="104">
        <f t="shared" si="50"/>
        <v>0</v>
      </c>
      <c r="K299" s="104">
        <f t="shared" si="51"/>
        <v>0</v>
      </c>
      <c r="L299" s="104">
        <v>0</v>
      </c>
      <c r="M299" s="104">
        <v>0</v>
      </c>
      <c r="N299" s="104">
        <v>0</v>
      </c>
      <c r="O299" s="104">
        <f t="shared" si="52"/>
        <v>2.5011693764025309</v>
      </c>
      <c r="P299" s="104">
        <f t="shared" si="45"/>
        <v>0</v>
      </c>
      <c r="Q299" s="105">
        <f t="shared" si="53"/>
        <v>-2.5011693764025309</v>
      </c>
      <c r="R299" s="105">
        <f t="shared" si="53"/>
        <v>0</v>
      </c>
      <c r="S299" s="104">
        <f t="shared" si="54"/>
        <v>0</v>
      </c>
      <c r="T299" s="104">
        <f t="shared" si="55"/>
        <v>0</v>
      </c>
      <c r="U299" s="104">
        <f t="shared" si="47"/>
        <v>0</v>
      </c>
      <c r="V299" s="103">
        <f t="shared" si="56"/>
        <v>0</v>
      </c>
      <c r="W299" s="103">
        <f t="shared" si="57"/>
        <v>0</v>
      </c>
      <c r="X299" s="103">
        <f t="shared" si="58"/>
        <v>0</v>
      </c>
      <c r="Z299" s="102"/>
      <c r="AA299" s="102"/>
    </row>
    <row r="300" spans="1:27" s="341" customFormat="1" x14ac:dyDescent="0.25">
      <c r="A300" s="530"/>
      <c r="B300" s="96">
        <v>94</v>
      </c>
      <c r="C300" s="110">
        <v>0</v>
      </c>
      <c r="D300" s="110">
        <f t="shared" si="59"/>
        <v>2760.7739999999999</v>
      </c>
      <c r="E300" s="109">
        <f t="shared" si="49"/>
        <v>0</v>
      </c>
      <c r="F300" s="108">
        <v>0</v>
      </c>
      <c r="G300" s="108">
        <v>0</v>
      </c>
      <c r="H300" s="107">
        <v>0</v>
      </c>
      <c r="I300" s="106">
        <f t="shared" si="50"/>
        <v>0</v>
      </c>
      <c r="J300" s="104">
        <f t="shared" si="50"/>
        <v>0</v>
      </c>
      <c r="K300" s="104">
        <f t="shared" si="51"/>
        <v>0</v>
      </c>
      <c r="L300" s="104">
        <v>0</v>
      </c>
      <c r="M300" s="104">
        <v>0</v>
      </c>
      <c r="N300" s="104">
        <v>0</v>
      </c>
      <c r="O300" s="104">
        <f t="shared" si="52"/>
        <v>2.5011693764025309</v>
      </c>
      <c r="P300" s="104">
        <f t="shared" si="45"/>
        <v>0</v>
      </c>
      <c r="Q300" s="105">
        <f t="shared" si="53"/>
        <v>-2.5011693764025309</v>
      </c>
      <c r="R300" s="105">
        <f t="shared" si="53"/>
        <v>0</v>
      </c>
      <c r="S300" s="104">
        <f t="shared" si="54"/>
        <v>0</v>
      </c>
      <c r="T300" s="104">
        <f t="shared" si="55"/>
        <v>0</v>
      </c>
      <c r="U300" s="104">
        <f t="shared" si="47"/>
        <v>0</v>
      </c>
      <c r="V300" s="103">
        <f t="shared" si="56"/>
        <v>0</v>
      </c>
      <c r="W300" s="103">
        <f t="shared" si="57"/>
        <v>0</v>
      </c>
      <c r="X300" s="103">
        <f t="shared" si="58"/>
        <v>0</v>
      </c>
      <c r="Z300" s="102"/>
      <c r="AA300" s="102"/>
    </row>
    <row r="301" spans="1:27" s="341" customFormat="1" x14ac:dyDescent="0.25">
      <c r="A301" s="530"/>
      <c r="B301" s="96">
        <v>95</v>
      </c>
      <c r="C301" s="110">
        <v>0</v>
      </c>
      <c r="D301" s="110">
        <f t="shared" si="59"/>
        <v>2760.7739999999999</v>
      </c>
      <c r="E301" s="109">
        <f t="shared" si="49"/>
        <v>0</v>
      </c>
      <c r="F301" s="108">
        <v>0</v>
      </c>
      <c r="G301" s="108">
        <v>0</v>
      </c>
      <c r="H301" s="107">
        <v>0</v>
      </c>
      <c r="I301" s="106">
        <f t="shared" si="50"/>
        <v>0</v>
      </c>
      <c r="J301" s="104">
        <f t="shared" si="50"/>
        <v>0</v>
      </c>
      <c r="K301" s="104">
        <f t="shared" si="51"/>
        <v>0</v>
      </c>
      <c r="L301" s="104">
        <v>0</v>
      </c>
      <c r="M301" s="104">
        <v>0</v>
      </c>
      <c r="N301" s="104">
        <v>0</v>
      </c>
      <c r="O301" s="104">
        <f t="shared" si="52"/>
        <v>2.5011693764025309</v>
      </c>
      <c r="P301" s="104">
        <f t="shared" si="45"/>
        <v>0</v>
      </c>
      <c r="Q301" s="105">
        <f t="shared" si="53"/>
        <v>-2.5011693764025309</v>
      </c>
      <c r="R301" s="105">
        <f t="shared" si="53"/>
        <v>0</v>
      </c>
      <c r="S301" s="104">
        <f t="shared" si="54"/>
        <v>0</v>
      </c>
      <c r="T301" s="104">
        <f t="shared" si="55"/>
        <v>0</v>
      </c>
      <c r="U301" s="104">
        <f t="shared" si="47"/>
        <v>0</v>
      </c>
      <c r="V301" s="103">
        <f t="shared" si="56"/>
        <v>0</v>
      </c>
      <c r="W301" s="103">
        <f t="shared" si="57"/>
        <v>0</v>
      </c>
      <c r="X301" s="103">
        <f t="shared" si="58"/>
        <v>0</v>
      </c>
      <c r="Z301" s="102"/>
      <c r="AA301" s="102"/>
    </row>
    <row r="302" spans="1:27" s="341" customFormat="1" x14ac:dyDescent="0.25">
      <c r="B302" s="339"/>
      <c r="C302" s="101"/>
      <c r="D302" s="101"/>
      <c r="E302" s="101"/>
      <c r="F302" s="101"/>
      <c r="G302" s="101"/>
      <c r="H302" s="101"/>
      <c r="I302" s="100"/>
      <c r="J302" s="99"/>
      <c r="K302" s="99"/>
      <c r="L302" s="98"/>
      <c r="M302" s="98"/>
      <c r="N302" s="98"/>
      <c r="O302" s="98"/>
      <c r="P302" s="98"/>
      <c r="Q302" s="98"/>
      <c r="R302" s="98"/>
      <c r="S302" s="98"/>
      <c r="T302" s="98"/>
      <c r="U302" s="98"/>
      <c r="V302" s="97"/>
      <c r="W302" s="97"/>
      <c r="X302" s="97"/>
    </row>
    <row r="303" spans="1:27" s="341" customFormat="1" x14ac:dyDescent="0.25">
      <c r="B303" s="339"/>
      <c r="C303" s="101"/>
      <c r="D303" s="101"/>
      <c r="E303" s="101"/>
      <c r="F303" s="101"/>
      <c r="G303" s="101"/>
      <c r="H303" s="100"/>
      <c r="I303" s="100"/>
      <c r="J303" s="99"/>
      <c r="K303" s="99"/>
      <c r="L303" s="98"/>
      <c r="M303" s="98"/>
      <c r="N303" s="98"/>
      <c r="O303" s="98"/>
      <c r="P303" s="98"/>
      <c r="Q303" s="98"/>
      <c r="R303" s="98"/>
      <c r="S303" s="98"/>
      <c r="T303" s="98"/>
      <c r="U303" s="98"/>
      <c r="V303" s="97"/>
      <c r="W303" s="97"/>
      <c r="X303" s="97"/>
    </row>
    <row r="304" spans="1:27" s="341" customFormat="1" x14ac:dyDescent="0.25">
      <c r="B304" s="95" t="s">
        <v>1874</v>
      </c>
      <c r="C304" s="339"/>
      <c r="D304" s="339"/>
      <c r="E304" s="339"/>
      <c r="F304" s="339"/>
      <c r="G304" s="339"/>
      <c r="H304" s="96"/>
      <c r="I304" s="94">
        <f>SUM(I207:I303)</f>
        <v>1.3729337969021582</v>
      </c>
      <c r="J304" s="94">
        <f>SUM(J207:J303)</f>
        <v>3.4339399686397303</v>
      </c>
      <c r="K304" s="94">
        <f>SUM(K207:K303)</f>
        <v>0</v>
      </c>
      <c r="L304" s="339"/>
      <c r="M304" s="339"/>
      <c r="N304" s="339" t="s">
        <v>2064</v>
      </c>
      <c r="O304" s="339"/>
      <c r="P304" s="339" t="s">
        <v>2065</v>
      </c>
      <c r="Q304" s="339"/>
      <c r="R304" s="339"/>
      <c r="S304" s="339"/>
      <c r="T304" s="339"/>
      <c r="U304" s="95" t="s">
        <v>1874</v>
      </c>
      <c r="V304" s="94">
        <f>SUM(V207:V303)</f>
        <v>9.2366717049194337E-3</v>
      </c>
      <c r="W304" s="94">
        <f>SUM(W207:W303)</f>
        <v>2.5508485979891176</v>
      </c>
      <c r="X304" s="93">
        <f>SUM(X207:X303)</f>
        <v>0</v>
      </c>
    </row>
    <row r="305" spans="1:24" s="341" customFormat="1" x14ac:dyDescent="0.25">
      <c r="B305" s="339"/>
      <c r="C305" s="339"/>
      <c r="D305" s="339"/>
      <c r="E305" s="339"/>
      <c r="F305" s="339"/>
      <c r="G305" s="339"/>
      <c r="H305" s="339"/>
      <c r="I305" s="339"/>
      <c r="J305" s="339"/>
      <c r="K305" s="339"/>
      <c r="L305" s="339"/>
      <c r="M305" s="339"/>
      <c r="N305" s="339">
        <v>3.0000000000000001E-3</v>
      </c>
      <c r="O305" s="339"/>
      <c r="P305" s="339">
        <v>3.0000000000000001E-3</v>
      </c>
      <c r="Q305" s="339"/>
      <c r="R305" s="339"/>
      <c r="S305" s="339"/>
      <c r="T305" s="339"/>
      <c r="U305" s="339"/>
      <c r="V305" s="85" t="s">
        <v>1873</v>
      </c>
      <c r="W305" s="85" t="s">
        <v>1872</v>
      </c>
      <c r="X305" s="85" t="s">
        <v>1871</v>
      </c>
    </row>
    <row r="306" spans="1:24" s="341" customFormat="1" x14ac:dyDescent="0.25">
      <c r="K306" s="89"/>
      <c r="L306" s="89"/>
      <c r="N306" s="91"/>
    </row>
    <row r="307" spans="1:24" s="341" customFormat="1" x14ac:dyDescent="0.25">
      <c r="B307" s="521" t="s">
        <v>1870</v>
      </c>
      <c r="C307" s="521"/>
      <c r="D307" s="521"/>
      <c r="E307" s="521"/>
      <c r="F307" s="521"/>
      <c r="G307" s="521"/>
      <c r="H307" s="84">
        <f>J304/I304</f>
        <v>2.5011693764025309</v>
      </c>
      <c r="I307" s="84"/>
      <c r="J307" s="84"/>
      <c r="K307" s="235"/>
      <c r="L307" s="235"/>
      <c r="U307" s="85" t="s">
        <v>1869</v>
      </c>
      <c r="V307" s="90">
        <f>W304*V304-(X304^2)</f>
        <v>2.3561351068579491E-2</v>
      </c>
    </row>
    <row r="308" spans="1:24" s="341" customFormat="1" x14ac:dyDescent="0.25">
      <c r="K308" s="89"/>
      <c r="L308" s="89"/>
    </row>
    <row r="309" spans="1:24" s="341" customFormat="1" x14ac:dyDescent="0.25">
      <c r="B309" s="521" t="s">
        <v>1868</v>
      </c>
      <c r="C309" s="521"/>
      <c r="D309" s="521"/>
      <c r="E309" s="521"/>
      <c r="F309" s="521"/>
      <c r="G309" s="521"/>
      <c r="H309" s="84">
        <f>K304/I304</f>
        <v>0</v>
      </c>
      <c r="I309" s="84"/>
      <c r="J309" s="84"/>
      <c r="K309" s="235"/>
      <c r="L309" s="235"/>
      <c r="U309" s="85" t="s">
        <v>1867</v>
      </c>
      <c r="V309" s="341">
        <f>W304/(D225*V307)</f>
        <v>3.9215127898027898E-2</v>
      </c>
    </row>
    <row r="310" spans="1:24" s="341" customFormat="1" x14ac:dyDescent="0.25">
      <c r="K310" s="235"/>
      <c r="L310" s="89"/>
    </row>
    <row r="311" spans="1:24" s="341" customFormat="1" x14ac:dyDescent="0.25">
      <c r="D311" s="85"/>
      <c r="E311" s="84"/>
      <c r="F311" s="84"/>
      <c r="O311" s="89"/>
      <c r="P311" s="89"/>
    </row>
    <row r="312" spans="1:24" s="341" customFormat="1" x14ac:dyDescent="0.25">
      <c r="D312" s="85"/>
      <c r="E312" s="84"/>
      <c r="F312" s="84"/>
      <c r="K312" s="89"/>
      <c r="O312" s="236"/>
      <c r="P312" s="89"/>
    </row>
    <row r="313" spans="1:24" s="231" customFormat="1" ht="15.75" thickBot="1" x14ac:dyDescent="0.3">
      <c r="D313" s="511"/>
      <c r="E313" s="512"/>
      <c r="F313" s="512"/>
      <c r="O313" s="513"/>
      <c r="P313" s="195"/>
    </row>
    <row r="314" spans="1:24" s="341" customFormat="1" x14ac:dyDescent="0.25">
      <c r="A314" s="341" t="s">
        <v>2329</v>
      </c>
      <c r="D314" s="85"/>
      <c r="E314" s="84"/>
      <c r="F314" s="84"/>
      <c r="I314" s="87"/>
      <c r="O314" s="89"/>
      <c r="P314" s="89"/>
    </row>
    <row r="315" spans="1:24" s="341" customFormat="1" x14ac:dyDescent="0.25">
      <c r="C315" s="341" t="s">
        <v>1866</v>
      </c>
      <c r="D315" s="86">
        <f>B318</f>
        <v>0</v>
      </c>
      <c r="E315" s="84"/>
      <c r="F315" s="84"/>
      <c r="O315" s="89"/>
      <c r="P315" s="89"/>
    </row>
    <row r="316" spans="1:24" s="341" customFormat="1" x14ac:dyDescent="0.25">
      <c r="D316" s="85"/>
      <c r="E316" s="84"/>
      <c r="F316" s="84"/>
    </row>
    <row r="317" spans="1:24" s="341" customFormat="1" x14ac:dyDescent="0.25">
      <c r="B317" s="341" t="s">
        <v>1837</v>
      </c>
      <c r="C317" s="341" t="s">
        <v>1838</v>
      </c>
      <c r="D317" s="341" t="s">
        <v>1864</v>
      </c>
      <c r="E317" s="341" t="s">
        <v>1863</v>
      </c>
      <c r="F317" s="341" t="s">
        <v>1862</v>
      </c>
      <c r="G317" s="341" t="s">
        <v>1861</v>
      </c>
      <c r="H317" s="341" t="s">
        <v>1860</v>
      </c>
      <c r="I317" s="341" t="s">
        <v>1859</v>
      </c>
      <c r="J317" s="341" t="s">
        <v>2324</v>
      </c>
      <c r="K317" s="341" t="s">
        <v>2325</v>
      </c>
      <c r="L317" s="341" t="s">
        <v>1858</v>
      </c>
      <c r="M317" s="341" t="s">
        <v>2326</v>
      </c>
      <c r="N317" s="341" t="s">
        <v>2327</v>
      </c>
    </row>
    <row r="318" spans="1:24" s="341" customFormat="1" x14ac:dyDescent="0.25">
      <c r="B318" s="505">
        <v>0</v>
      </c>
      <c r="C318" s="508">
        <f>MAX($AN$4:$AN$21)</f>
        <v>0.16957590389133589</v>
      </c>
      <c r="D318" s="508">
        <f>INDEX($AM$4:$AN$21,MATCH(C318,$AN$4:$AN$21,0),1)</f>
        <v>1.695193974255274</v>
      </c>
      <c r="E318" s="505">
        <f>E228</f>
        <v>1</v>
      </c>
      <c r="F318" s="508">
        <f t="shared" ref="F318:F361" si="60">$W$304</f>
        <v>2.5508485979891176</v>
      </c>
      <c r="G318" s="508">
        <f t="shared" ref="G318:G361" si="61">$V$304</f>
        <v>9.2366717049194337E-3</v>
      </c>
      <c r="H318" s="508">
        <f t="shared" ref="H318:H361" si="62">$V$307</f>
        <v>2.3561351068579491E-2</v>
      </c>
      <c r="I318" s="508">
        <f t="shared" ref="I318:I361" si="63">$X$304</f>
        <v>0</v>
      </c>
      <c r="J318" s="509">
        <v>0</v>
      </c>
      <c r="K318" s="509">
        <f>$E$144+((($J$47*B318^6)/(6*5))+(($K$47*B318^5)/(5*4))+(($L$47*B318^4)/(4*3))+(($M$47*B318^3)/(3*2))+($N$47*B318^2)/(2))-$E$117*B318</f>
        <v>0.32060115737139178</v>
      </c>
      <c r="L318" s="509">
        <f>-(C318*E318*((K318*F318)+(J318*I318))/H318)+(D318*E318*(J318*G318+(K318*I318))/H318)</f>
        <v>-5.8859113744301244</v>
      </c>
      <c r="M318" s="341">
        <f>(Wing!C183/MAX(L318:L361))</f>
        <v>6.795888938078483</v>
      </c>
      <c r="N318" s="341">
        <f>(Wing!C190/MIN(L318:L361))</f>
        <v>-5.0969167035588621</v>
      </c>
    </row>
    <row r="319" spans="1:24" s="341" customFormat="1" x14ac:dyDescent="0.25">
      <c r="B319" s="505">
        <f>B318+$F$44/21</f>
        <v>0.62784962009454592</v>
      </c>
      <c r="C319" s="508">
        <f t="shared" ref="C319:C339" si="64">MAX($AN$4:$AN$21)</f>
        <v>0.16957590389133589</v>
      </c>
      <c r="D319" s="508">
        <f t="shared" ref="D319:D339" si="65">INDEX($AM$4:$AN$21,MATCH(C319,$AN$4:$AN$21,0),1)</f>
        <v>1.695193974255274</v>
      </c>
      <c r="E319" s="505">
        <f t="shared" ref="E319:E334" si="66">E229</f>
        <v>1</v>
      </c>
      <c r="F319" s="508">
        <f t="shared" si="60"/>
        <v>2.5508485979891176</v>
      </c>
      <c r="G319" s="508">
        <f t="shared" si="61"/>
        <v>9.2366717049194337E-3</v>
      </c>
      <c r="H319" s="508">
        <f t="shared" si="62"/>
        <v>2.3561351068579491E-2</v>
      </c>
      <c r="I319" s="508">
        <f t="shared" si="63"/>
        <v>0</v>
      </c>
      <c r="J319" s="509">
        <v>0</v>
      </c>
      <c r="K319" s="509">
        <f t="shared" ref="K319:K339" si="67">$E$144+((($J$47*B319^6)/(6*5))+(($K$47*B319^5)/(5*4))+(($L$47*B319^4)/(4*3))+(($M$47*B319^3)/(3*2))+($N$47*B319^2)/(2))-$E$117*B319</f>
        <v>0.28712150071987574</v>
      </c>
      <c r="L319" s="509">
        <f t="shared" ref="L319:L361" si="68">-(C319*E319*((K319*F319)+(J319*I319))/H319)+(D319*E319*(J319*G319+(K319*I319))/H319)</f>
        <v>-5.2712589086909052</v>
      </c>
    </row>
    <row r="320" spans="1:24" s="341" customFormat="1" x14ac:dyDescent="0.25">
      <c r="B320" s="505">
        <f t="shared" ref="B320:B339" si="69">B319+$F$44/21</f>
        <v>1.2556992401890918</v>
      </c>
      <c r="C320" s="508">
        <f t="shared" si="64"/>
        <v>0.16957590389133589</v>
      </c>
      <c r="D320" s="508">
        <f t="shared" si="65"/>
        <v>1.695193974255274</v>
      </c>
      <c r="E320" s="505">
        <f t="shared" si="66"/>
        <v>1</v>
      </c>
      <c r="F320" s="508">
        <f t="shared" si="60"/>
        <v>2.5508485979891176</v>
      </c>
      <c r="G320" s="508">
        <f t="shared" si="61"/>
        <v>9.2366717049194337E-3</v>
      </c>
      <c r="H320" s="508">
        <f t="shared" si="62"/>
        <v>2.3561351068579491E-2</v>
      </c>
      <c r="I320" s="508">
        <f t="shared" si="63"/>
        <v>0</v>
      </c>
      <c r="J320" s="509">
        <v>0</v>
      </c>
      <c r="K320" s="509">
        <f t="shared" si="67"/>
        <v>0.25558664211160886</v>
      </c>
      <c r="L320" s="509">
        <f t="shared" si="68"/>
        <v>-4.6923109582366047</v>
      </c>
    </row>
    <row r="321" spans="2:19" s="341" customFormat="1" x14ac:dyDescent="0.25">
      <c r="B321" s="505">
        <f t="shared" si="69"/>
        <v>1.8835488602836379</v>
      </c>
      <c r="C321" s="508">
        <f t="shared" si="64"/>
        <v>0.16957590389133589</v>
      </c>
      <c r="D321" s="508">
        <f t="shared" si="65"/>
        <v>1.695193974255274</v>
      </c>
      <c r="E321" s="505">
        <f t="shared" si="66"/>
        <v>1</v>
      </c>
      <c r="F321" s="508">
        <f t="shared" si="60"/>
        <v>2.5508485979891176</v>
      </c>
      <c r="G321" s="508">
        <f t="shared" si="61"/>
        <v>9.2366717049194337E-3</v>
      </c>
      <c r="H321" s="508">
        <f t="shared" si="62"/>
        <v>2.3561351068579491E-2</v>
      </c>
      <c r="I321" s="508">
        <f t="shared" si="63"/>
        <v>0</v>
      </c>
      <c r="J321" s="509">
        <v>0</v>
      </c>
      <c r="K321" s="509">
        <f t="shared" si="67"/>
        <v>0.22600106217354704</v>
      </c>
      <c r="L321" s="509">
        <f t="shared" si="68"/>
        <v>-4.1491497828238035</v>
      </c>
    </row>
    <row r="322" spans="2:19" s="341" customFormat="1" x14ac:dyDescent="0.25">
      <c r="B322" s="505">
        <f t="shared" si="69"/>
        <v>2.5113984803781837</v>
      </c>
      <c r="C322" s="508">
        <f t="shared" si="64"/>
        <v>0.16957590389133589</v>
      </c>
      <c r="D322" s="508">
        <f t="shared" si="65"/>
        <v>1.695193974255274</v>
      </c>
      <c r="E322" s="505">
        <f t="shared" si="66"/>
        <v>1</v>
      </c>
      <c r="F322" s="508">
        <f t="shared" si="60"/>
        <v>2.5508485979891176</v>
      </c>
      <c r="G322" s="508">
        <f t="shared" si="61"/>
        <v>9.2366717049194337E-3</v>
      </c>
      <c r="H322" s="508">
        <f t="shared" si="62"/>
        <v>2.3561351068579491E-2</v>
      </c>
      <c r="I322" s="508">
        <f t="shared" si="63"/>
        <v>0</v>
      </c>
      <c r="J322" s="509">
        <v>0</v>
      </c>
      <c r="K322" s="509">
        <f t="shared" si="67"/>
        <v>0.19836170847272949</v>
      </c>
      <c r="L322" s="509">
        <f t="shared" si="68"/>
        <v>-3.6417193428859842</v>
      </c>
    </row>
    <row r="323" spans="2:19" s="341" customFormat="1" ht="15.75" thickBot="1" x14ac:dyDescent="0.3">
      <c r="B323" s="505">
        <f t="shared" si="69"/>
        <v>3.1392481004727295</v>
      </c>
      <c r="C323" s="508">
        <f t="shared" si="64"/>
        <v>0.16957590389133589</v>
      </c>
      <c r="D323" s="508">
        <f t="shared" si="65"/>
        <v>1.695193974255274</v>
      </c>
      <c r="E323" s="505">
        <f t="shared" si="66"/>
        <v>1</v>
      </c>
      <c r="F323" s="508">
        <f t="shared" si="60"/>
        <v>2.5508485979891176</v>
      </c>
      <c r="G323" s="508">
        <f t="shared" si="61"/>
        <v>9.2366717049194337E-3</v>
      </c>
      <c r="H323" s="508">
        <f t="shared" si="62"/>
        <v>2.3561351068579491E-2</v>
      </c>
      <c r="I323" s="508">
        <f t="shared" si="63"/>
        <v>0</v>
      </c>
      <c r="J323" s="509">
        <v>0</v>
      </c>
      <c r="K323" s="509">
        <f t="shared" si="67"/>
        <v>0.17265981978894776</v>
      </c>
      <c r="L323" s="509">
        <f t="shared" si="68"/>
        <v>-3.1698587913254586</v>
      </c>
      <c r="Q323" s="341" t="s">
        <v>1855</v>
      </c>
    </row>
    <row r="324" spans="2:19" s="341" customFormat="1" x14ac:dyDescent="0.25">
      <c r="B324" s="505">
        <f t="shared" si="69"/>
        <v>3.7670977205672753</v>
      </c>
      <c r="C324" s="508">
        <f t="shared" si="64"/>
        <v>0.16957590389133589</v>
      </c>
      <c r="D324" s="508">
        <f t="shared" si="65"/>
        <v>1.695193974255274</v>
      </c>
      <c r="E324" s="505">
        <f t="shared" si="66"/>
        <v>1</v>
      </c>
      <c r="F324" s="508">
        <f t="shared" si="60"/>
        <v>2.5508485979891176</v>
      </c>
      <c r="G324" s="508">
        <f t="shared" si="61"/>
        <v>9.2366717049194337E-3</v>
      </c>
      <c r="H324" s="508">
        <f t="shared" si="62"/>
        <v>2.3561351068579491E-2</v>
      </c>
      <c r="I324" s="508">
        <f t="shared" si="63"/>
        <v>0</v>
      </c>
      <c r="J324" s="509">
        <v>0</v>
      </c>
      <c r="K324" s="509">
        <f t="shared" si="67"/>
        <v>0.14888230935926453</v>
      </c>
      <c r="L324" s="509">
        <f t="shared" si="68"/>
        <v>-2.7333278684767319</v>
      </c>
      <c r="Q324" s="83" t="s">
        <v>1854</v>
      </c>
      <c r="R324" s="82">
        <f>-O326*SUM(H207:H244)</f>
        <v>8.0809666515259515</v>
      </c>
      <c r="S324" s="341" t="s">
        <v>1942</v>
      </c>
    </row>
    <row r="325" spans="2:19" s="341" customFormat="1" x14ac:dyDescent="0.25">
      <c r="B325" s="505">
        <f t="shared" si="69"/>
        <v>4.3949473406618216</v>
      </c>
      <c r="C325" s="508">
        <f t="shared" si="64"/>
        <v>0.16957590389133589</v>
      </c>
      <c r="D325" s="508">
        <f t="shared" si="65"/>
        <v>1.695193974255274</v>
      </c>
      <c r="E325" s="505">
        <f t="shared" si="66"/>
        <v>1</v>
      </c>
      <c r="F325" s="508">
        <f t="shared" si="60"/>
        <v>2.5508485979891176</v>
      </c>
      <c r="G325" s="508">
        <f t="shared" si="61"/>
        <v>9.2366717049194337E-3</v>
      </c>
      <c r="H325" s="508">
        <f t="shared" si="62"/>
        <v>2.3561351068579491E-2</v>
      </c>
      <c r="I325" s="508">
        <f t="shared" si="63"/>
        <v>0</v>
      </c>
      <c r="J325" s="509">
        <v>0</v>
      </c>
      <c r="K325" s="509">
        <f t="shared" si="67"/>
        <v>0.12701270709438139</v>
      </c>
      <c r="L325" s="509">
        <f t="shared" si="68"/>
        <v>-2.3318242002413014</v>
      </c>
      <c r="N325" s="341" t="s">
        <v>1853</v>
      </c>
      <c r="O325" s="341" t="s">
        <v>1852</v>
      </c>
      <c r="Q325" s="77" t="s">
        <v>1851</v>
      </c>
      <c r="R325" s="81">
        <f>SUM(M207:M244)</f>
        <v>2.6436511618206593E-2</v>
      </c>
    </row>
    <row r="326" spans="2:19" s="341" customFormat="1" x14ac:dyDescent="0.25">
      <c r="B326" s="505">
        <f t="shared" si="69"/>
        <v>5.0227969607563674</v>
      </c>
      <c r="C326" s="508">
        <f t="shared" si="64"/>
        <v>0.16957590389133589</v>
      </c>
      <c r="D326" s="508">
        <f t="shared" si="65"/>
        <v>1.695193974255274</v>
      </c>
      <c r="E326" s="505">
        <f t="shared" si="66"/>
        <v>1</v>
      </c>
      <c r="F326" s="508">
        <f t="shared" si="60"/>
        <v>2.5508485979891176</v>
      </c>
      <c r="G326" s="508">
        <f t="shared" si="61"/>
        <v>9.2366717049194337E-3</v>
      </c>
      <c r="H326" s="508">
        <f t="shared" si="62"/>
        <v>2.3561351068579491E-2</v>
      </c>
      <c r="I326" s="508">
        <f t="shared" si="63"/>
        <v>0</v>
      </c>
      <c r="J326" s="509">
        <v>0</v>
      </c>
      <c r="K326" s="509">
        <f t="shared" si="67"/>
        <v>0.10703166076685655</v>
      </c>
      <c r="L326" s="509">
        <f t="shared" si="68"/>
        <v>-1.9649924993938976</v>
      </c>
      <c r="N326" s="80">
        <f>MAX(L318:L338)</f>
        <v>-5.8595327859163734E-3</v>
      </c>
      <c r="O326" s="341">
        <f>MIN(L318:L339)</f>
        <v>-5.8859113744301244</v>
      </c>
      <c r="Q326" s="77" t="s">
        <v>1850</v>
      </c>
      <c r="R326" s="79">
        <f>((PI()^2)*C228*R325/(4*R324))^(1/2)</f>
        <v>4.720692608439097</v>
      </c>
      <c r="S326" s="78"/>
    </row>
    <row r="327" spans="2:19" s="341" customFormat="1" x14ac:dyDescent="0.25">
      <c r="B327" s="505">
        <f t="shared" si="69"/>
        <v>5.6506465808509132</v>
      </c>
      <c r="C327" s="508">
        <f t="shared" si="64"/>
        <v>0.16957590389133589</v>
      </c>
      <c r="D327" s="508">
        <f t="shared" si="65"/>
        <v>1.695193974255274</v>
      </c>
      <c r="E327" s="505">
        <f t="shared" si="66"/>
        <v>1</v>
      </c>
      <c r="F327" s="508">
        <f t="shared" si="60"/>
        <v>2.5508485979891176</v>
      </c>
      <c r="G327" s="508">
        <f t="shared" si="61"/>
        <v>9.2366717049194337E-3</v>
      </c>
      <c r="H327" s="508">
        <f t="shared" si="62"/>
        <v>2.3561351068579491E-2</v>
      </c>
      <c r="I327" s="508">
        <f t="shared" si="63"/>
        <v>0</v>
      </c>
      <c r="J327" s="509">
        <v>0</v>
      </c>
      <c r="K327" s="509">
        <f t="shared" si="67"/>
        <v>8.8916996171170881E-2</v>
      </c>
      <c r="L327" s="509">
        <f t="shared" si="68"/>
        <v>-1.6324256700601523</v>
      </c>
      <c r="Q327" s="77" t="s">
        <v>1849</v>
      </c>
      <c r="R327" s="76">
        <f>C110/(R326*2)</f>
        <v>0</v>
      </c>
    </row>
    <row r="328" spans="2:19" s="341" customFormat="1" ht="15.75" thickBot="1" x14ac:dyDescent="0.3">
      <c r="B328" s="505">
        <f t="shared" si="69"/>
        <v>6.278496200945459</v>
      </c>
      <c r="C328" s="508">
        <f t="shared" si="64"/>
        <v>0.16957590389133589</v>
      </c>
      <c r="D328" s="508">
        <f t="shared" si="65"/>
        <v>1.695193974255274</v>
      </c>
      <c r="E328" s="505">
        <f t="shared" si="66"/>
        <v>1</v>
      </c>
      <c r="F328" s="508">
        <f t="shared" si="60"/>
        <v>2.5508485979891176</v>
      </c>
      <c r="G328" s="508">
        <f t="shared" si="61"/>
        <v>9.2366717049194337E-3</v>
      </c>
      <c r="H328" s="508">
        <f t="shared" si="62"/>
        <v>2.3561351068579491E-2</v>
      </c>
      <c r="I328" s="508">
        <f t="shared" si="63"/>
        <v>0</v>
      </c>
      <c r="J328" s="509">
        <v>0</v>
      </c>
      <c r="K328" s="509">
        <f t="shared" si="67"/>
        <v>7.2643336255644009E-2</v>
      </c>
      <c r="L328" s="509">
        <f t="shared" si="68"/>
        <v>-1.3336578153657062</v>
      </c>
      <c r="Q328" s="75" t="s">
        <v>1848</v>
      </c>
      <c r="R328" s="74">
        <f>ROUNDUP(R327,0)</f>
        <v>0</v>
      </c>
    </row>
    <row r="329" spans="2:19" s="341" customFormat="1" x14ac:dyDescent="0.25">
      <c r="B329" s="505">
        <f t="shared" si="69"/>
        <v>6.9063458210400048</v>
      </c>
      <c r="C329" s="508">
        <f t="shared" si="64"/>
        <v>0.16957590389133589</v>
      </c>
      <c r="D329" s="508">
        <f t="shared" si="65"/>
        <v>1.695193974255274</v>
      </c>
      <c r="E329" s="505">
        <f t="shared" si="66"/>
        <v>1</v>
      </c>
      <c r="F329" s="508">
        <f t="shared" si="60"/>
        <v>2.5508485979891176</v>
      </c>
      <c r="G329" s="508">
        <f t="shared" si="61"/>
        <v>9.2366717049194337E-3</v>
      </c>
      <c r="H329" s="508">
        <f t="shared" si="62"/>
        <v>2.3561351068579491E-2</v>
      </c>
      <c r="I329" s="508">
        <f t="shared" si="63"/>
        <v>0</v>
      </c>
      <c r="J329" s="509">
        <v>0</v>
      </c>
      <c r="K329" s="509">
        <f t="shared" si="67"/>
        <v>5.8181279226199756E-2</v>
      </c>
      <c r="L329" s="509">
        <f t="shared" si="68"/>
        <v>-1.068149148256762</v>
      </c>
    </row>
    <row r="330" spans="2:19" s="341" customFormat="1" x14ac:dyDescent="0.25">
      <c r="B330" s="505">
        <f t="shared" si="69"/>
        <v>7.5341954411345506</v>
      </c>
      <c r="C330" s="508">
        <f t="shared" si="64"/>
        <v>0.16957590389133589</v>
      </c>
      <c r="D330" s="508">
        <f t="shared" si="65"/>
        <v>1.695193974255274</v>
      </c>
      <c r="E330" s="505">
        <f t="shared" si="66"/>
        <v>1</v>
      </c>
      <c r="F330" s="508">
        <f t="shared" si="60"/>
        <v>2.5508485979891176</v>
      </c>
      <c r="G330" s="508">
        <f t="shared" si="61"/>
        <v>9.2366717049194337E-3</v>
      </c>
      <c r="H330" s="508">
        <f t="shared" si="62"/>
        <v>2.3561351068579491E-2</v>
      </c>
      <c r="I330" s="508">
        <f t="shared" si="63"/>
        <v>0</v>
      </c>
      <c r="J330" s="509">
        <v>0</v>
      </c>
      <c r="K330" s="509">
        <f t="shared" si="67"/>
        <v>4.5496135621980127E-2</v>
      </c>
      <c r="L330" s="509">
        <f t="shared" si="68"/>
        <v>-0.83526280549205456</v>
      </c>
    </row>
    <row r="331" spans="2:19" s="341" customFormat="1" x14ac:dyDescent="0.25">
      <c r="B331" s="505">
        <f t="shared" si="69"/>
        <v>8.1620450612290973</v>
      </c>
      <c r="C331" s="508">
        <f t="shared" si="64"/>
        <v>0.16957590389133589</v>
      </c>
      <c r="D331" s="508">
        <f t="shared" si="65"/>
        <v>1.695193974255274</v>
      </c>
      <c r="E331" s="505">
        <f t="shared" si="66"/>
        <v>1</v>
      </c>
      <c r="F331" s="508">
        <f t="shared" si="60"/>
        <v>2.5508485979891176</v>
      </c>
      <c r="G331" s="508">
        <f t="shared" si="61"/>
        <v>9.2366717049194337E-3</v>
      </c>
      <c r="H331" s="508">
        <f t="shared" si="62"/>
        <v>2.3561351068579491E-2</v>
      </c>
      <c r="I331" s="508">
        <f t="shared" si="63"/>
        <v>0</v>
      </c>
      <c r="J331" s="509">
        <v>0</v>
      </c>
      <c r="K331" s="509">
        <f t="shared" si="67"/>
        <v>3.4546224362809519E-2</v>
      </c>
      <c r="L331" s="509">
        <f t="shared" si="68"/>
        <v>-0.6342335648062758</v>
      </c>
      <c r="N331" s="59" t="s">
        <v>2331</v>
      </c>
      <c r="O331" s="341" t="s">
        <v>2302</v>
      </c>
    </row>
    <row r="332" spans="2:19" s="341" customFormat="1" x14ac:dyDescent="0.25">
      <c r="B332" s="505">
        <f t="shared" si="69"/>
        <v>8.7898946813236432</v>
      </c>
      <c r="C332" s="508">
        <f t="shared" si="64"/>
        <v>0.16957590389133589</v>
      </c>
      <c r="D332" s="508">
        <f t="shared" si="65"/>
        <v>1.695193974255274</v>
      </c>
      <c r="E332" s="505">
        <f t="shared" si="66"/>
        <v>1</v>
      </c>
      <c r="F332" s="508">
        <f t="shared" si="60"/>
        <v>2.5508485979891176</v>
      </c>
      <c r="G332" s="508">
        <f t="shared" si="61"/>
        <v>9.2366717049194337E-3</v>
      </c>
      <c r="H332" s="508">
        <f t="shared" si="62"/>
        <v>2.3561351068579491E-2</v>
      </c>
      <c r="I332" s="508">
        <f t="shared" si="63"/>
        <v>0</v>
      </c>
      <c r="J332" s="509">
        <v>0</v>
      </c>
      <c r="K332" s="509">
        <f t="shared" si="67"/>
        <v>2.5280727768507538E-2</v>
      </c>
      <c r="L332" s="509">
        <f t="shared" si="68"/>
        <v>-0.46412846524492274</v>
      </c>
      <c r="N332" s="341" t="s">
        <v>1837</v>
      </c>
      <c r="O332" s="341" t="s">
        <v>2332</v>
      </c>
    </row>
    <row r="333" spans="2:19" s="341" customFormat="1" x14ac:dyDescent="0.25">
      <c r="B333" s="505">
        <f t="shared" si="69"/>
        <v>9.417744301418189</v>
      </c>
      <c r="C333" s="508">
        <f t="shared" si="64"/>
        <v>0.16957590389133589</v>
      </c>
      <c r="D333" s="508">
        <f t="shared" si="65"/>
        <v>1.695193974255274</v>
      </c>
      <c r="E333" s="505">
        <f t="shared" si="66"/>
        <v>1</v>
      </c>
      <c r="F333" s="508">
        <f t="shared" si="60"/>
        <v>2.5508485979891176</v>
      </c>
      <c r="G333" s="508">
        <f t="shared" si="61"/>
        <v>9.2366717049194337E-3</v>
      </c>
      <c r="H333" s="508">
        <f t="shared" si="62"/>
        <v>2.3561351068579491E-2</v>
      </c>
      <c r="I333" s="508">
        <f t="shared" si="63"/>
        <v>0</v>
      </c>
      <c r="J333" s="509">
        <v>0</v>
      </c>
      <c r="K333" s="509">
        <f t="shared" si="67"/>
        <v>1.7637105550051602E-2</v>
      </c>
      <c r="L333" s="509">
        <f t="shared" si="68"/>
        <v>-0.3237993306705908</v>
      </c>
      <c r="N333" s="73">
        <f>B318</f>
        <v>0</v>
      </c>
      <c r="O333" s="341">
        <f>($W$304/($D$301*$V$307))*($E$144*(N333^2)/2+((($J$47*N333^8)/(8*7*6*5))+(($K$47*N333^7)/(7*6*5*4))+(($L$47*N333^6)/(6*5*4*3))+(($M$47*N333^5)/(5*4*3*2))+($N$47*N333^4)/(4*3*2))-($E$117*N333^3)/(3*2))</f>
        <v>0</v>
      </c>
    </row>
    <row r="334" spans="2:19" s="341" customFormat="1" x14ac:dyDescent="0.25">
      <c r="B334" s="505">
        <f t="shared" si="69"/>
        <v>10.045593921512735</v>
      </c>
      <c r="C334" s="508">
        <f t="shared" si="64"/>
        <v>0.16957590389133589</v>
      </c>
      <c r="D334" s="508">
        <f t="shared" si="65"/>
        <v>1.695193974255274</v>
      </c>
      <c r="E334" s="505">
        <f t="shared" si="66"/>
        <v>1</v>
      </c>
      <c r="F334" s="508">
        <f t="shared" si="60"/>
        <v>2.5508485979891176</v>
      </c>
      <c r="G334" s="508">
        <f t="shared" si="61"/>
        <v>9.2366717049194337E-3</v>
      </c>
      <c r="H334" s="508">
        <f t="shared" si="62"/>
        <v>2.3561351068579491E-2</v>
      </c>
      <c r="I334" s="508">
        <f t="shared" si="63"/>
        <v>0</v>
      </c>
      <c r="J334" s="509">
        <v>0</v>
      </c>
      <c r="K334" s="509">
        <f t="shared" si="67"/>
        <v>1.1538067772588811E-2</v>
      </c>
      <c r="L334" s="509">
        <f t="shared" si="68"/>
        <v>-0.21182719644070175</v>
      </c>
      <c r="N334" s="73">
        <f t="shared" ref="N334:N354" si="70">B319</f>
        <v>0.62784962009454592</v>
      </c>
      <c r="O334" s="474">
        <f t="shared" ref="O334:O354" si="71">($W$304/($D$301*$V$307))*($E$144*(N334^2)/2+((($J$47*N334^8)/(8*7*6*5))+(($K$47*N334^7)/(7*6*5*4))+(($L$47*N334^6)/(6*5*4*3))+(($M$47*N334^5)/(5*4*3*2))+($N$47*N334^4)/(4*3*2))-($E$117*N334^3)/(3*2))</f>
        <v>2.3904864439553658E-3</v>
      </c>
    </row>
    <row r="335" spans="2:19" s="341" customFormat="1" x14ac:dyDescent="0.25">
      <c r="B335" s="505">
        <f t="shared" si="69"/>
        <v>10.673443541607281</v>
      </c>
      <c r="C335" s="508">
        <f t="shared" si="64"/>
        <v>0.16957590389133589</v>
      </c>
      <c r="D335" s="508">
        <f t="shared" si="65"/>
        <v>1.695193974255274</v>
      </c>
      <c r="E335" s="505">
        <f>E228</f>
        <v>1</v>
      </c>
      <c r="F335" s="508">
        <f t="shared" si="60"/>
        <v>2.5508485979891176</v>
      </c>
      <c r="G335" s="508">
        <f t="shared" si="61"/>
        <v>9.2366717049194337E-3</v>
      </c>
      <c r="H335" s="508">
        <f t="shared" si="62"/>
        <v>2.3561351068579491E-2</v>
      </c>
      <c r="I335" s="508">
        <f t="shared" si="63"/>
        <v>0</v>
      </c>
      <c r="J335" s="509">
        <v>0</v>
      </c>
      <c r="K335" s="509">
        <f t="shared" si="67"/>
        <v>6.8881067902960558E-3</v>
      </c>
      <c r="L335" s="509">
        <f t="shared" si="68"/>
        <v>-0.1264586392566488</v>
      </c>
      <c r="N335" s="73">
        <f t="shared" si="70"/>
        <v>1.2556992401890918</v>
      </c>
      <c r="O335" s="474">
        <f t="shared" si="71"/>
        <v>9.2219215589164349E-3</v>
      </c>
    </row>
    <row r="336" spans="2:19" s="341" customFormat="1" x14ac:dyDescent="0.25">
      <c r="B336" s="505">
        <f t="shared" si="69"/>
        <v>11.301293161701826</v>
      </c>
      <c r="C336" s="508">
        <f t="shared" si="64"/>
        <v>0.16957590389133589</v>
      </c>
      <c r="D336" s="508">
        <f t="shared" si="65"/>
        <v>1.695193974255274</v>
      </c>
      <c r="E336" s="505">
        <f t="shared" ref="E336:E339" si="72">E229</f>
        <v>1</v>
      </c>
      <c r="F336" s="508">
        <f t="shared" si="60"/>
        <v>2.5508485979891176</v>
      </c>
      <c r="G336" s="508">
        <f t="shared" si="61"/>
        <v>9.2366717049194337E-3</v>
      </c>
      <c r="H336" s="508">
        <f t="shared" si="62"/>
        <v>2.3561351068579491E-2</v>
      </c>
      <c r="I336" s="508">
        <f t="shared" si="63"/>
        <v>0</v>
      </c>
      <c r="J336" s="509">
        <v>0</v>
      </c>
      <c r="K336" s="509">
        <f t="shared" si="67"/>
        <v>3.5695881530918294E-3</v>
      </c>
      <c r="L336" s="509">
        <f t="shared" si="68"/>
        <v>-6.5534010184421843E-2</v>
      </c>
      <c r="N336" s="73">
        <f t="shared" si="70"/>
        <v>1.8835488602836379</v>
      </c>
      <c r="O336" s="474">
        <f t="shared" si="71"/>
        <v>2.0006832101218737E-2</v>
      </c>
    </row>
    <row r="337" spans="2:15" s="341" customFormat="1" x14ac:dyDescent="0.25">
      <c r="B337" s="505">
        <f t="shared" si="69"/>
        <v>11.929142781796372</v>
      </c>
      <c r="C337" s="508">
        <f t="shared" si="64"/>
        <v>0.16957590389133589</v>
      </c>
      <c r="D337" s="508">
        <f t="shared" si="65"/>
        <v>1.695193974255274</v>
      </c>
      <c r="E337" s="505">
        <f t="shared" si="72"/>
        <v>1</v>
      </c>
      <c r="F337" s="508">
        <f t="shared" si="60"/>
        <v>2.5508485979891176</v>
      </c>
      <c r="G337" s="508">
        <f t="shared" si="61"/>
        <v>9.2366717049194337E-3</v>
      </c>
      <c r="H337" s="508">
        <f t="shared" si="62"/>
        <v>2.3561351068579491E-2</v>
      </c>
      <c r="I337" s="508">
        <f t="shared" si="63"/>
        <v>0</v>
      </c>
      <c r="J337" s="509">
        <v>0</v>
      </c>
      <c r="K337" s="509">
        <f t="shared" si="67"/>
        <v>1.438400485194502E-3</v>
      </c>
      <c r="L337" s="509">
        <f t="shared" si="68"/>
        <v>-2.6407570846616046E-2</v>
      </c>
      <c r="N337" s="73">
        <f t="shared" si="70"/>
        <v>2.5113984803781837</v>
      </c>
      <c r="O337" s="474">
        <f t="shared" si="71"/>
        <v>3.4287867906333702E-2</v>
      </c>
    </row>
    <row r="338" spans="2:15" s="341" customFormat="1" x14ac:dyDescent="0.25">
      <c r="B338" s="505">
        <f t="shared" si="69"/>
        <v>12.556992401890918</v>
      </c>
      <c r="C338" s="508">
        <f t="shared" si="64"/>
        <v>0.16957590389133589</v>
      </c>
      <c r="D338" s="508">
        <f t="shared" si="65"/>
        <v>1.695193974255274</v>
      </c>
      <c r="E338" s="505">
        <f t="shared" si="72"/>
        <v>1</v>
      </c>
      <c r="F338" s="508">
        <f t="shared" si="60"/>
        <v>2.5508485979891176</v>
      </c>
      <c r="G338" s="508">
        <f t="shared" si="61"/>
        <v>9.2366717049194337E-3</v>
      </c>
      <c r="H338" s="508">
        <f t="shared" si="62"/>
        <v>2.3561351068579491E-2</v>
      </c>
      <c r="I338" s="508">
        <f t="shared" si="63"/>
        <v>0</v>
      </c>
      <c r="J338" s="509">
        <v>0</v>
      </c>
      <c r="K338" s="509">
        <f t="shared" si="67"/>
        <v>3.191643355320295E-4</v>
      </c>
      <c r="L338" s="509">
        <f t="shared" si="68"/>
        <v>-5.8595327859163734E-3</v>
      </c>
      <c r="N338" s="73">
        <f t="shared" si="70"/>
        <v>3.1392481004727295</v>
      </c>
      <c r="O338" s="474">
        <f t="shared" si="71"/>
        <v>5.1637757053129216E-2</v>
      </c>
    </row>
    <row r="339" spans="2:15" s="341" customFormat="1" x14ac:dyDescent="0.25">
      <c r="B339" s="505">
        <f t="shared" si="69"/>
        <v>13.184842021985464</v>
      </c>
      <c r="C339" s="508">
        <f t="shared" si="64"/>
        <v>0.16957590389133589</v>
      </c>
      <c r="D339" s="508">
        <f t="shared" si="65"/>
        <v>1.695193974255274</v>
      </c>
      <c r="E339" s="505">
        <f t="shared" si="72"/>
        <v>1</v>
      </c>
      <c r="F339" s="508">
        <f t="shared" si="60"/>
        <v>2.5508485979891176</v>
      </c>
      <c r="G339" s="508">
        <f t="shared" si="61"/>
        <v>9.2366717049194337E-3</v>
      </c>
      <c r="H339" s="508">
        <f t="shared" si="62"/>
        <v>2.3561351068579491E-2</v>
      </c>
      <c r="I339" s="508">
        <f t="shared" si="63"/>
        <v>0</v>
      </c>
      <c r="J339" s="509">
        <v>0</v>
      </c>
      <c r="K339" s="509">
        <f t="shared" si="67"/>
        <v>0</v>
      </c>
      <c r="L339" s="509">
        <f t="shared" si="68"/>
        <v>0</v>
      </c>
      <c r="N339" s="73">
        <f t="shared" si="70"/>
        <v>3.7670977205672753</v>
      </c>
      <c r="O339" s="474">
        <f t="shared" si="71"/>
        <v>7.1659172211205907E-2</v>
      </c>
    </row>
    <row r="340" spans="2:15" s="341" customFormat="1" x14ac:dyDescent="0.25">
      <c r="B340" s="506">
        <v>0</v>
      </c>
      <c r="C340" s="510">
        <f>MIN($AN$26:$AN$43)</f>
        <v>-0.16957590389133589</v>
      </c>
      <c r="D340" s="510">
        <f>INDEX($AM$26:$AN$43,MATCH(C340,$AN$26:$AN$43,0),1)</f>
        <v>1.695193974255274</v>
      </c>
      <c r="E340" s="506">
        <f>E228</f>
        <v>1</v>
      </c>
      <c r="F340" s="70">
        <f t="shared" si="60"/>
        <v>2.5508485979891176</v>
      </c>
      <c r="G340" s="70">
        <f t="shared" si="61"/>
        <v>9.2366717049194337E-3</v>
      </c>
      <c r="H340" s="70">
        <f t="shared" si="62"/>
        <v>2.3561351068579491E-2</v>
      </c>
      <c r="I340" s="70">
        <f t="shared" si="63"/>
        <v>0</v>
      </c>
      <c r="J340" s="70">
        <v>0</v>
      </c>
      <c r="K340" s="70">
        <f t="shared" ref="K340:K360" si="73">$E$144+((($J$47*B340^6)/(6*5))+(($K$47*B340^5)/(5*4))+(($L$47*B340^4)/(4*3))+(($M$47*B340^3)/(3*2))+($N$47*B340^2)/(2))-$E$117*B340</f>
        <v>0.32060115737139178</v>
      </c>
      <c r="L340" s="70">
        <f t="shared" si="68"/>
        <v>5.8859113744301244</v>
      </c>
      <c r="N340" s="73">
        <f t="shared" si="70"/>
        <v>4.3949473406618216</v>
      </c>
      <c r="O340" s="474">
        <f t="shared" si="71"/>
        <v>9.3984529554074436E-2</v>
      </c>
    </row>
    <row r="341" spans="2:15" s="474" customFormat="1" x14ac:dyDescent="0.25">
      <c r="B341" s="506">
        <f>B340+$F$44/21</f>
        <v>0.62784962009454592</v>
      </c>
      <c r="C341" s="510">
        <f t="shared" ref="C341:C361" si="74">MIN($AN$26:$AN$43)</f>
        <v>-0.16957590389133589</v>
      </c>
      <c r="D341" s="510">
        <f t="shared" ref="D341:D361" si="75">INDEX($AM$26:$AN$43,MATCH(C341,$AN$26:$AN$43,0),1)</f>
        <v>1.695193974255274</v>
      </c>
      <c r="E341" s="506">
        <f t="shared" ref="E341:E361" si="76">E229</f>
        <v>1</v>
      </c>
      <c r="F341" s="70">
        <f t="shared" si="60"/>
        <v>2.5508485979891176</v>
      </c>
      <c r="G341" s="70">
        <f t="shared" si="61"/>
        <v>9.2366717049194337E-3</v>
      </c>
      <c r="H341" s="70">
        <f t="shared" si="62"/>
        <v>2.3561351068579491E-2</v>
      </c>
      <c r="I341" s="70">
        <f t="shared" si="63"/>
        <v>0</v>
      </c>
      <c r="J341" s="70">
        <v>0</v>
      </c>
      <c r="K341" s="70">
        <f t="shared" si="73"/>
        <v>0.28712150071987574</v>
      </c>
      <c r="L341" s="70">
        <f t="shared" si="68"/>
        <v>5.2712589086909052</v>
      </c>
      <c r="N341" s="73">
        <f t="shared" si="70"/>
        <v>5.0227969607563674</v>
      </c>
      <c r="O341" s="474">
        <f t="shared" si="71"/>
        <v>0.11827573480334337</v>
      </c>
    </row>
    <row r="342" spans="2:15" s="474" customFormat="1" x14ac:dyDescent="0.25">
      <c r="B342" s="506">
        <f t="shared" ref="B342:B361" si="77">B341+$F$44/21</f>
        <v>1.2556992401890918</v>
      </c>
      <c r="C342" s="510">
        <f t="shared" si="74"/>
        <v>-0.16957590389133589</v>
      </c>
      <c r="D342" s="510">
        <f t="shared" si="75"/>
        <v>1.695193974255274</v>
      </c>
      <c r="E342" s="506">
        <f t="shared" si="76"/>
        <v>1</v>
      </c>
      <c r="F342" s="70">
        <f t="shared" si="60"/>
        <v>2.5508485979891176</v>
      </c>
      <c r="G342" s="70">
        <f t="shared" si="61"/>
        <v>9.2366717049194337E-3</v>
      </c>
      <c r="H342" s="70">
        <f t="shared" si="62"/>
        <v>2.3561351068579491E-2</v>
      </c>
      <c r="I342" s="70">
        <f t="shared" si="63"/>
        <v>0</v>
      </c>
      <c r="J342" s="70">
        <v>0</v>
      </c>
      <c r="K342" s="70">
        <f t="shared" si="73"/>
        <v>0.25558664211160886</v>
      </c>
      <c r="L342" s="70">
        <f t="shared" si="68"/>
        <v>4.6923109582366047</v>
      </c>
      <c r="N342" s="73">
        <f t="shared" si="70"/>
        <v>5.6506465808509132</v>
      </c>
      <c r="O342" s="474">
        <f t="shared" si="71"/>
        <v>0.14422388415149229</v>
      </c>
    </row>
    <row r="343" spans="2:15" s="474" customFormat="1" x14ac:dyDescent="0.25">
      <c r="B343" s="506">
        <f t="shared" si="77"/>
        <v>1.8835488602836379</v>
      </c>
      <c r="C343" s="510">
        <f t="shared" si="74"/>
        <v>-0.16957590389133589</v>
      </c>
      <c r="D343" s="510">
        <f t="shared" si="75"/>
        <v>1.695193974255274</v>
      </c>
      <c r="E343" s="506">
        <f t="shared" si="76"/>
        <v>1</v>
      </c>
      <c r="F343" s="70">
        <f t="shared" si="60"/>
        <v>2.5508485979891176</v>
      </c>
      <c r="G343" s="70">
        <f t="shared" si="61"/>
        <v>9.2366717049194337E-3</v>
      </c>
      <c r="H343" s="70">
        <f t="shared" si="62"/>
        <v>2.3561351068579491E-2</v>
      </c>
      <c r="I343" s="70">
        <f t="shared" si="63"/>
        <v>0</v>
      </c>
      <c r="J343" s="70">
        <v>0</v>
      </c>
      <c r="K343" s="70">
        <f t="shared" si="73"/>
        <v>0.22600106217354704</v>
      </c>
      <c r="L343" s="70">
        <f t="shared" si="68"/>
        <v>4.1491497828238035</v>
      </c>
      <c r="N343" s="73">
        <f t="shared" si="70"/>
        <v>6.278496200945459</v>
      </c>
      <c r="O343" s="474">
        <f t="shared" si="71"/>
        <v>0.17154892099320934</v>
      </c>
    </row>
    <row r="344" spans="2:15" s="474" customFormat="1" x14ac:dyDescent="0.25">
      <c r="B344" s="506">
        <f t="shared" si="77"/>
        <v>2.5113984803781837</v>
      </c>
      <c r="C344" s="510">
        <f t="shared" si="74"/>
        <v>-0.16957590389133589</v>
      </c>
      <c r="D344" s="510">
        <f t="shared" si="75"/>
        <v>1.695193974255274</v>
      </c>
      <c r="E344" s="506">
        <f t="shared" si="76"/>
        <v>1</v>
      </c>
      <c r="F344" s="70">
        <f t="shared" si="60"/>
        <v>2.5508485979891176</v>
      </c>
      <c r="G344" s="70">
        <f t="shared" si="61"/>
        <v>9.2366717049194337E-3</v>
      </c>
      <c r="H344" s="70">
        <f t="shared" si="62"/>
        <v>2.3561351068579491E-2</v>
      </c>
      <c r="I344" s="70">
        <f t="shared" si="63"/>
        <v>0</v>
      </c>
      <c r="J344" s="70">
        <v>0</v>
      </c>
      <c r="K344" s="70">
        <f t="shared" si="73"/>
        <v>0.19836170847272949</v>
      </c>
      <c r="L344" s="70">
        <f t="shared" si="68"/>
        <v>3.6417193428859842</v>
      </c>
      <c r="N344" s="73">
        <f t="shared" si="70"/>
        <v>6.9063458210400048</v>
      </c>
      <c r="O344" s="474">
        <f t="shared" si="71"/>
        <v>0.19999924257767673</v>
      </c>
    </row>
    <row r="345" spans="2:15" s="474" customFormat="1" x14ac:dyDescent="0.25">
      <c r="B345" s="506">
        <f t="shared" si="77"/>
        <v>3.1392481004727295</v>
      </c>
      <c r="C345" s="510">
        <f t="shared" si="74"/>
        <v>-0.16957590389133589</v>
      </c>
      <c r="D345" s="510">
        <f t="shared" si="75"/>
        <v>1.695193974255274</v>
      </c>
      <c r="E345" s="506">
        <f t="shared" si="76"/>
        <v>1</v>
      </c>
      <c r="F345" s="70">
        <f t="shared" si="60"/>
        <v>2.5508485979891176</v>
      </c>
      <c r="G345" s="70">
        <f t="shared" si="61"/>
        <v>9.2366717049194337E-3</v>
      </c>
      <c r="H345" s="70">
        <f t="shared" si="62"/>
        <v>2.3561351068579491E-2</v>
      </c>
      <c r="I345" s="70">
        <f t="shared" si="63"/>
        <v>0</v>
      </c>
      <c r="J345" s="70">
        <v>0</v>
      </c>
      <c r="K345" s="70">
        <f t="shared" si="73"/>
        <v>0.17265981978894776</v>
      </c>
      <c r="L345" s="70">
        <f t="shared" si="68"/>
        <v>3.1698587913254586</v>
      </c>
      <c r="N345" s="73">
        <f t="shared" si="70"/>
        <v>7.5341954411345506</v>
      </c>
      <c r="O345" s="474">
        <f t="shared" si="71"/>
        <v>0.229351243876593</v>
      </c>
    </row>
    <row r="346" spans="2:15" s="474" customFormat="1" x14ac:dyDescent="0.25">
      <c r="B346" s="506">
        <f t="shared" si="77"/>
        <v>3.7670977205672753</v>
      </c>
      <c r="C346" s="510">
        <f t="shared" si="74"/>
        <v>-0.16957590389133589</v>
      </c>
      <c r="D346" s="510">
        <f t="shared" si="75"/>
        <v>1.695193974255274</v>
      </c>
      <c r="E346" s="506">
        <f t="shared" si="76"/>
        <v>1</v>
      </c>
      <c r="F346" s="70">
        <f t="shared" si="60"/>
        <v>2.5508485979891176</v>
      </c>
      <c r="G346" s="70">
        <f t="shared" si="61"/>
        <v>9.2366717049194337E-3</v>
      </c>
      <c r="H346" s="70">
        <f t="shared" si="62"/>
        <v>2.3561351068579491E-2</v>
      </c>
      <c r="I346" s="70">
        <f t="shared" si="63"/>
        <v>0</v>
      </c>
      <c r="J346" s="70">
        <v>0</v>
      </c>
      <c r="K346" s="70">
        <f t="shared" si="73"/>
        <v>0.14888230935926453</v>
      </c>
      <c r="L346" s="70">
        <f t="shared" si="68"/>
        <v>2.7333278684767319</v>
      </c>
      <c r="N346" s="73">
        <f t="shared" si="70"/>
        <v>8.1620450612290973</v>
      </c>
      <c r="O346" s="474">
        <f t="shared" si="71"/>
        <v>0.25940877914512578</v>
      </c>
    </row>
    <row r="347" spans="2:15" s="474" customFormat="1" x14ac:dyDescent="0.25">
      <c r="B347" s="506">
        <f t="shared" si="77"/>
        <v>4.3949473406618216</v>
      </c>
      <c r="C347" s="510">
        <f t="shared" si="74"/>
        <v>-0.16957590389133589</v>
      </c>
      <c r="D347" s="510">
        <f t="shared" si="75"/>
        <v>1.695193974255274</v>
      </c>
      <c r="E347" s="506">
        <f t="shared" si="76"/>
        <v>1</v>
      </c>
      <c r="F347" s="70">
        <f t="shared" si="60"/>
        <v>2.5508485979891176</v>
      </c>
      <c r="G347" s="70">
        <f t="shared" si="61"/>
        <v>9.2366717049194337E-3</v>
      </c>
      <c r="H347" s="70">
        <f t="shared" si="62"/>
        <v>2.3561351068579491E-2</v>
      </c>
      <c r="I347" s="70">
        <f t="shared" si="63"/>
        <v>0</v>
      </c>
      <c r="J347" s="70">
        <v>0</v>
      </c>
      <c r="K347" s="70">
        <f t="shared" si="73"/>
        <v>0.12701270709438139</v>
      </c>
      <c r="L347" s="70">
        <f t="shared" si="68"/>
        <v>2.3318242002413014</v>
      </c>
      <c r="N347" s="73">
        <f t="shared" si="70"/>
        <v>8.7898946813236432</v>
      </c>
      <c r="O347" s="474">
        <f t="shared" si="71"/>
        <v>0.29000251483539047</v>
      </c>
    </row>
    <row r="348" spans="2:15" s="474" customFormat="1" x14ac:dyDescent="0.25">
      <c r="B348" s="506">
        <f t="shared" si="77"/>
        <v>5.0227969607563674</v>
      </c>
      <c r="C348" s="510">
        <f t="shared" si="74"/>
        <v>-0.16957590389133589</v>
      </c>
      <c r="D348" s="510">
        <f t="shared" si="75"/>
        <v>1.695193974255274</v>
      </c>
      <c r="E348" s="506">
        <f t="shared" si="76"/>
        <v>1</v>
      </c>
      <c r="F348" s="70">
        <f t="shared" si="60"/>
        <v>2.5508485979891176</v>
      </c>
      <c r="G348" s="70">
        <f t="shared" si="61"/>
        <v>9.2366717049194337E-3</v>
      </c>
      <c r="H348" s="70">
        <f t="shared" si="62"/>
        <v>2.3561351068579491E-2</v>
      </c>
      <c r="I348" s="70">
        <f t="shared" si="63"/>
        <v>0</v>
      </c>
      <c r="J348" s="70">
        <v>0</v>
      </c>
      <c r="K348" s="70">
        <f t="shared" si="73"/>
        <v>0.10703166076685655</v>
      </c>
      <c r="L348" s="70">
        <f t="shared" si="68"/>
        <v>1.9649924993938976</v>
      </c>
      <c r="N348" s="73">
        <f t="shared" si="70"/>
        <v>9.417744301418189</v>
      </c>
      <c r="O348" s="474">
        <f t="shared" si="71"/>
        <v>0.32098914070446227</v>
      </c>
    </row>
    <row r="349" spans="2:15" s="474" customFormat="1" x14ac:dyDescent="0.25">
      <c r="B349" s="506">
        <f t="shared" si="77"/>
        <v>5.6506465808509132</v>
      </c>
      <c r="C349" s="510">
        <f t="shared" si="74"/>
        <v>-0.16957590389133589</v>
      </c>
      <c r="D349" s="510">
        <f t="shared" si="75"/>
        <v>1.695193974255274</v>
      </c>
      <c r="E349" s="506">
        <f t="shared" si="76"/>
        <v>1</v>
      </c>
      <c r="F349" s="70">
        <f t="shared" si="60"/>
        <v>2.5508485979891176</v>
      </c>
      <c r="G349" s="70">
        <f t="shared" si="61"/>
        <v>9.2366717049194337E-3</v>
      </c>
      <c r="H349" s="70">
        <f t="shared" si="62"/>
        <v>2.3561351068579491E-2</v>
      </c>
      <c r="I349" s="70">
        <f t="shared" si="63"/>
        <v>0</v>
      </c>
      <c r="J349" s="70">
        <v>0</v>
      </c>
      <c r="K349" s="70">
        <f t="shared" si="73"/>
        <v>8.8916996171170881E-2</v>
      </c>
      <c r="L349" s="70">
        <f t="shared" si="68"/>
        <v>1.6324256700601523</v>
      </c>
      <c r="N349" s="73">
        <f t="shared" si="70"/>
        <v>10.045593921512735</v>
      </c>
      <c r="O349" s="474">
        <f t="shared" si="71"/>
        <v>0.35225039914132317</v>
      </c>
    </row>
    <row r="350" spans="2:15" s="474" customFormat="1" x14ac:dyDescent="0.25">
      <c r="B350" s="506">
        <f t="shared" si="77"/>
        <v>6.278496200945459</v>
      </c>
      <c r="C350" s="510">
        <f t="shared" si="74"/>
        <v>-0.16957590389133589</v>
      </c>
      <c r="D350" s="510">
        <f t="shared" si="75"/>
        <v>1.695193974255274</v>
      </c>
      <c r="E350" s="506">
        <f t="shared" si="76"/>
        <v>1</v>
      </c>
      <c r="F350" s="70">
        <f t="shared" si="60"/>
        <v>2.5508485979891176</v>
      </c>
      <c r="G350" s="70">
        <f t="shared" si="61"/>
        <v>9.2366717049194337E-3</v>
      </c>
      <c r="H350" s="70">
        <f t="shared" si="62"/>
        <v>2.3561351068579491E-2</v>
      </c>
      <c r="I350" s="70">
        <f t="shared" si="63"/>
        <v>0</v>
      </c>
      <c r="J350" s="70">
        <v>0</v>
      </c>
      <c r="K350" s="70">
        <f t="shared" si="73"/>
        <v>7.2643336255644009E-2</v>
      </c>
      <c r="L350" s="70">
        <f t="shared" si="68"/>
        <v>1.3336578153657062</v>
      </c>
      <c r="N350" s="73">
        <f t="shared" si="70"/>
        <v>10.673443541607281</v>
      </c>
      <c r="O350" s="474">
        <f t="shared" si="71"/>
        <v>0.38369188591955905</v>
      </c>
    </row>
    <row r="351" spans="2:15" s="474" customFormat="1" x14ac:dyDescent="0.25">
      <c r="B351" s="506">
        <f t="shared" si="77"/>
        <v>6.9063458210400048</v>
      </c>
      <c r="C351" s="510">
        <f t="shared" si="74"/>
        <v>-0.16957590389133589</v>
      </c>
      <c r="D351" s="510">
        <f t="shared" si="75"/>
        <v>1.695193974255274</v>
      </c>
      <c r="E351" s="506">
        <f t="shared" si="76"/>
        <v>1</v>
      </c>
      <c r="F351" s="70">
        <f t="shared" si="60"/>
        <v>2.5508485979891176</v>
      </c>
      <c r="G351" s="70">
        <f t="shared" si="61"/>
        <v>9.2366717049194337E-3</v>
      </c>
      <c r="H351" s="70">
        <f t="shared" si="62"/>
        <v>2.3561351068579491E-2</v>
      </c>
      <c r="I351" s="70">
        <f t="shared" si="63"/>
        <v>0</v>
      </c>
      <c r="J351" s="70">
        <v>0</v>
      </c>
      <c r="K351" s="70">
        <f t="shared" si="73"/>
        <v>5.8181279226199756E-2</v>
      </c>
      <c r="L351" s="70">
        <f t="shared" si="68"/>
        <v>1.068149148256762</v>
      </c>
      <c r="N351" s="73">
        <f>B336</f>
        <v>11.301293161701826</v>
      </c>
      <c r="O351" s="474">
        <f t="shared" si="71"/>
        <v>0.41524156876502483</v>
      </c>
    </row>
    <row r="352" spans="2:15" s="474" customFormat="1" x14ac:dyDescent="0.25">
      <c r="B352" s="506">
        <f t="shared" si="77"/>
        <v>7.5341954411345506</v>
      </c>
      <c r="C352" s="510">
        <f t="shared" si="74"/>
        <v>-0.16957590389133589</v>
      </c>
      <c r="D352" s="510">
        <f t="shared" si="75"/>
        <v>1.695193974255274</v>
      </c>
      <c r="E352" s="506">
        <f t="shared" si="76"/>
        <v>1</v>
      </c>
      <c r="F352" s="70">
        <f t="shared" si="60"/>
        <v>2.5508485979891176</v>
      </c>
      <c r="G352" s="70">
        <f t="shared" si="61"/>
        <v>9.2366717049194337E-3</v>
      </c>
      <c r="H352" s="70">
        <f t="shared" si="62"/>
        <v>2.3561351068579491E-2</v>
      </c>
      <c r="I352" s="70">
        <f t="shared" si="63"/>
        <v>0</v>
      </c>
      <c r="J352" s="70">
        <v>0</v>
      </c>
      <c r="K352" s="70">
        <f t="shared" si="73"/>
        <v>4.5496135621980127E-2</v>
      </c>
      <c r="L352" s="70">
        <f t="shared" si="68"/>
        <v>0.83526280549205456</v>
      </c>
      <c r="N352" s="73">
        <f t="shared" si="70"/>
        <v>11.929142781796372</v>
      </c>
      <c r="O352" s="474">
        <f t="shared" si="71"/>
        <v>0.44684796331009324</v>
      </c>
    </row>
    <row r="353" spans="1:15" s="474" customFormat="1" x14ac:dyDescent="0.25">
      <c r="B353" s="506">
        <f t="shared" si="77"/>
        <v>8.1620450612290973</v>
      </c>
      <c r="C353" s="510">
        <f t="shared" si="74"/>
        <v>-0.16957590389133589</v>
      </c>
      <c r="D353" s="510">
        <f t="shared" si="75"/>
        <v>1.695193974255274</v>
      </c>
      <c r="E353" s="506">
        <f t="shared" si="76"/>
        <v>1</v>
      </c>
      <c r="F353" s="70">
        <f t="shared" si="60"/>
        <v>2.5508485979891176</v>
      </c>
      <c r="G353" s="70">
        <f t="shared" si="61"/>
        <v>9.2366717049194337E-3</v>
      </c>
      <c r="H353" s="70">
        <f t="shared" si="62"/>
        <v>2.3561351068579491E-2</v>
      </c>
      <c r="I353" s="70">
        <f t="shared" si="63"/>
        <v>0</v>
      </c>
      <c r="J353" s="70">
        <v>0</v>
      </c>
      <c r="K353" s="70">
        <f t="shared" si="73"/>
        <v>3.4546224362809519E-2</v>
      </c>
      <c r="L353" s="70">
        <f t="shared" si="68"/>
        <v>0.6342335648062758</v>
      </c>
      <c r="N353" s="73">
        <f t="shared" si="70"/>
        <v>12.556992401890918</v>
      </c>
      <c r="O353" s="474">
        <f t="shared" si="71"/>
        <v>0.4784778991885219</v>
      </c>
    </row>
    <row r="354" spans="1:15" s="474" customFormat="1" x14ac:dyDescent="0.25">
      <c r="B354" s="506">
        <f t="shared" si="77"/>
        <v>8.7898946813236432</v>
      </c>
      <c r="C354" s="510">
        <f>MIN($AN$26:$AN$43)</f>
        <v>-0.16957590389133589</v>
      </c>
      <c r="D354" s="510">
        <f t="shared" si="75"/>
        <v>1.695193974255274</v>
      </c>
      <c r="E354" s="506">
        <f t="shared" si="76"/>
        <v>1</v>
      </c>
      <c r="F354" s="70">
        <f t="shared" si="60"/>
        <v>2.5508485979891176</v>
      </c>
      <c r="G354" s="70">
        <f t="shared" si="61"/>
        <v>9.2366717049194337E-3</v>
      </c>
      <c r="H354" s="70">
        <f t="shared" si="62"/>
        <v>2.3561351068579491E-2</v>
      </c>
      <c r="I354" s="70">
        <f t="shared" si="63"/>
        <v>0</v>
      </c>
      <c r="J354" s="70">
        <v>0</v>
      </c>
      <c r="K354" s="70">
        <f t="shared" si="73"/>
        <v>2.5280727768507538E-2</v>
      </c>
      <c r="L354" s="70">
        <f t="shared" si="68"/>
        <v>0.46412846524492274</v>
      </c>
      <c r="N354" s="73">
        <f t="shared" si="70"/>
        <v>13.184842021985464</v>
      </c>
      <c r="O354" s="474">
        <f t="shared" si="71"/>
        <v>0.51011380220735947</v>
      </c>
    </row>
    <row r="355" spans="1:15" s="474" customFormat="1" x14ac:dyDescent="0.25">
      <c r="B355" s="506">
        <f t="shared" si="77"/>
        <v>9.417744301418189</v>
      </c>
      <c r="C355" s="510">
        <f t="shared" si="74"/>
        <v>-0.16957590389133589</v>
      </c>
      <c r="D355" s="510">
        <f t="shared" si="75"/>
        <v>1.695193974255274</v>
      </c>
      <c r="E355" s="506">
        <f t="shared" si="76"/>
        <v>1</v>
      </c>
      <c r="F355" s="70">
        <f t="shared" si="60"/>
        <v>2.5508485979891176</v>
      </c>
      <c r="G355" s="70">
        <f t="shared" si="61"/>
        <v>9.2366717049194337E-3</v>
      </c>
      <c r="H355" s="70">
        <f t="shared" si="62"/>
        <v>2.3561351068579491E-2</v>
      </c>
      <c r="I355" s="70">
        <f t="shared" si="63"/>
        <v>0</v>
      </c>
      <c r="J355" s="70">
        <v>0</v>
      </c>
      <c r="K355" s="70">
        <f t="shared" si="73"/>
        <v>1.7637105550051602E-2</v>
      </c>
      <c r="L355" s="70">
        <f t="shared" si="68"/>
        <v>0.3237993306705908</v>
      </c>
      <c r="N355" s="73"/>
    </row>
    <row r="356" spans="1:15" s="474" customFormat="1" x14ac:dyDescent="0.25">
      <c r="B356" s="506">
        <f t="shared" si="77"/>
        <v>10.045593921512735</v>
      </c>
      <c r="C356" s="510">
        <f t="shared" si="74"/>
        <v>-0.16957590389133589</v>
      </c>
      <c r="D356" s="510">
        <f t="shared" si="75"/>
        <v>1.695193974255274</v>
      </c>
      <c r="E356" s="506">
        <f t="shared" si="76"/>
        <v>1</v>
      </c>
      <c r="F356" s="70">
        <f t="shared" si="60"/>
        <v>2.5508485979891176</v>
      </c>
      <c r="G356" s="70">
        <f t="shared" si="61"/>
        <v>9.2366717049194337E-3</v>
      </c>
      <c r="H356" s="70">
        <f t="shared" si="62"/>
        <v>2.3561351068579491E-2</v>
      </c>
      <c r="I356" s="70">
        <f t="shared" si="63"/>
        <v>0</v>
      </c>
      <c r="J356" s="70">
        <v>0</v>
      </c>
      <c r="K356" s="70">
        <f t="shared" si="73"/>
        <v>1.1538067772588811E-2</v>
      </c>
      <c r="L356" s="70">
        <f t="shared" si="68"/>
        <v>0.21182719644070175</v>
      </c>
      <c r="N356" s="73"/>
    </row>
    <row r="357" spans="1:15" s="474" customFormat="1" x14ac:dyDescent="0.25">
      <c r="B357" s="506">
        <f t="shared" si="77"/>
        <v>10.673443541607281</v>
      </c>
      <c r="C357" s="510">
        <f t="shared" si="74"/>
        <v>-0.16957590389133589</v>
      </c>
      <c r="D357" s="510">
        <f t="shared" si="75"/>
        <v>1.695193974255274</v>
      </c>
      <c r="E357" s="506">
        <f t="shared" si="76"/>
        <v>1</v>
      </c>
      <c r="F357" s="70">
        <f t="shared" si="60"/>
        <v>2.5508485979891176</v>
      </c>
      <c r="G357" s="70">
        <f t="shared" si="61"/>
        <v>9.2366717049194337E-3</v>
      </c>
      <c r="H357" s="70">
        <f t="shared" si="62"/>
        <v>2.3561351068579491E-2</v>
      </c>
      <c r="I357" s="70">
        <f t="shared" si="63"/>
        <v>0</v>
      </c>
      <c r="J357" s="70">
        <v>0</v>
      </c>
      <c r="K357" s="70">
        <f t="shared" si="73"/>
        <v>6.8881067902960558E-3</v>
      </c>
      <c r="L357" s="70">
        <f t="shared" si="68"/>
        <v>0.1264586392566488</v>
      </c>
    </row>
    <row r="358" spans="1:15" s="474" customFormat="1" x14ac:dyDescent="0.25">
      <c r="B358" s="506">
        <f t="shared" si="77"/>
        <v>11.301293161701826</v>
      </c>
      <c r="C358" s="510">
        <f t="shared" si="74"/>
        <v>-0.16957590389133589</v>
      </c>
      <c r="D358" s="510">
        <f t="shared" si="75"/>
        <v>1.695193974255274</v>
      </c>
      <c r="E358" s="506">
        <f t="shared" si="76"/>
        <v>1</v>
      </c>
      <c r="F358" s="70">
        <f t="shared" si="60"/>
        <v>2.5508485979891176</v>
      </c>
      <c r="G358" s="70">
        <f t="shared" si="61"/>
        <v>9.2366717049194337E-3</v>
      </c>
      <c r="H358" s="70">
        <f t="shared" si="62"/>
        <v>2.3561351068579491E-2</v>
      </c>
      <c r="I358" s="70">
        <f t="shared" si="63"/>
        <v>0</v>
      </c>
      <c r="J358" s="70">
        <v>0</v>
      </c>
      <c r="K358" s="70">
        <f t="shared" si="73"/>
        <v>3.5695881530918294E-3</v>
      </c>
      <c r="L358" s="70">
        <f t="shared" si="68"/>
        <v>6.5534010184421843E-2</v>
      </c>
    </row>
    <row r="359" spans="1:15" s="474" customFormat="1" x14ac:dyDescent="0.25">
      <c r="B359" s="506">
        <f t="shared" si="77"/>
        <v>11.929142781796372</v>
      </c>
      <c r="C359" s="510">
        <f t="shared" si="74"/>
        <v>-0.16957590389133589</v>
      </c>
      <c r="D359" s="510">
        <f t="shared" si="75"/>
        <v>1.695193974255274</v>
      </c>
      <c r="E359" s="506">
        <f t="shared" si="76"/>
        <v>1</v>
      </c>
      <c r="F359" s="70">
        <f t="shared" si="60"/>
        <v>2.5508485979891176</v>
      </c>
      <c r="G359" s="70">
        <f t="shared" si="61"/>
        <v>9.2366717049194337E-3</v>
      </c>
      <c r="H359" s="70">
        <f t="shared" si="62"/>
        <v>2.3561351068579491E-2</v>
      </c>
      <c r="I359" s="70">
        <f t="shared" si="63"/>
        <v>0</v>
      </c>
      <c r="J359" s="70">
        <v>0</v>
      </c>
      <c r="K359" s="70">
        <f t="shared" si="73"/>
        <v>1.438400485194502E-3</v>
      </c>
      <c r="L359" s="70">
        <f t="shared" si="68"/>
        <v>2.6407570846616046E-2</v>
      </c>
    </row>
    <row r="360" spans="1:15" s="474" customFormat="1" x14ac:dyDescent="0.25">
      <c r="B360" s="506">
        <f t="shared" si="77"/>
        <v>12.556992401890918</v>
      </c>
      <c r="C360" s="510">
        <f t="shared" si="74"/>
        <v>-0.16957590389133589</v>
      </c>
      <c r="D360" s="510">
        <f t="shared" si="75"/>
        <v>1.695193974255274</v>
      </c>
      <c r="E360" s="506">
        <f t="shared" si="76"/>
        <v>1</v>
      </c>
      <c r="F360" s="70">
        <f t="shared" si="60"/>
        <v>2.5508485979891176</v>
      </c>
      <c r="G360" s="70">
        <f t="shared" si="61"/>
        <v>9.2366717049194337E-3</v>
      </c>
      <c r="H360" s="70">
        <f t="shared" si="62"/>
        <v>2.3561351068579491E-2</v>
      </c>
      <c r="I360" s="70">
        <f t="shared" si="63"/>
        <v>0</v>
      </c>
      <c r="J360" s="70">
        <v>0</v>
      </c>
      <c r="K360" s="70">
        <f t="shared" si="73"/>
        <v>3.191643355320295E-4</v>
      </c>
      <c r="L360" s="70">
        <f t="shared" si="68"/>
        <v>5.8595327859163734E-3</v>
      </c>
    </row>
    <row r="361" spans="1:15" s="474" customFormat="1" x14ac:dyDescent="0.25">
      <c r="B361" s="506">
        <f t="shared" si="77"/>
        <v>13.184842021985464</v>
      </c>
      <c r="C361" s="510">
        <f t="shared" si="74"/>
        <v>-0.16957590389133589</v>
      </c>
      <c r="D361" s="510">
        <f t="shared" si="75"/>
        <v>1.695193974255274</v>
      </c>
      <c r="E361" s="506">
        <f t="shared" si="76"/>
        <v>1</v>
      </c>
      <c r="F361" s="70">
        <f t="shared" si="60"/>
        <v>2.5508485979891176</v>
      </c>
      <c r="G361" s="70">
        <f t="shared" si="61"/>
        <v>9.2366717049194337E-3</v>
      </c>
      <c r="H361" s="70">
        <f t="shared" si="62"/>
        <v>2.3561351068579491E-2</v>
      </c>
      <c r="I361" s="70">
        <f t="shared" si="63"/>
        <v>0</v>
      </c>
      <c r="J361" s="70">
        <v>0</v>
      </c>
      <c r="K361" s="70">
        <f>$E$144+((($J$47*B361^6)/(6*5))+(($K$47*B361^5)/(5*4))+(($L$47*B361^4)/(4*3))+(($M$47*B361^3)/(3*2))+($N$47*B361^2)/(2))-$E$117*B361</f>
        <v>0</v>
      </c>
      <c r="L361" s="70">
        <f t="shared" si="68"/>
        <v>0</v>
      </c>
    </row>
    <row r="362" spans="1:15" s="231" customFormat="1" ht="15.75" thickBot="1" x14ac:dyDescent="0.3">
      <c r="C362" s="514"/>
    </row>
    <row r="363" spans="1:15" s="474" customFormat="1" x14ac:dyDescent="0.25">
      <c r="C363" s="72"/>
      <c r="D363" s="510"/>
    </row>
    <row r="364" spans="1:15" s="474" customFormat="1" x14ac:dyDescent="0.25">
      <c r="A364" s="474" t="s">
        <v>2330</v>
      </c>
      <c r="C364" s="72" t="s">
        <v>2335</v>
      </c>
      <c r="D364">
        <f>B12/B11</f>
        <v>16.661112962345882</v>
      </c>
      <c r="F364" s="474" t="s">
        <v>2336</v>
      </c>
      <c r="G364" s="474">
        <v>0.33300000000000002</v>
      </c>
      <c r="H364" s="474" t="s">
        <v>2337</v>
      </c>
      <c r="I364" s="474">
        <v>0.33300000000000002</v>
      </c>
    </row>
    <row r="365" spans="1:15" s="474" customFormat="1" x14ac:dyDescent="0.25">
      <c r="A365" s="474" t="s">
        <v>2333</v>
      </c>
      <c r="B365" s="474">
        <f>-(B12*0.25-H307)*U2</f>
        <v>-0.3260973607313396</v>
      </c>
      <c r="C365" s="72" t="s">
        <v>2334</v>
      </c>
    </row>
    <row r="366" spans="1:15" s="474" customFormat="1" x14ac:dyDescent="0.25">
      <c r="A366" s="474" t="s">
        <v>2338</v>
      </c>
      <c r="B366" s="474">
        <f>B365/(G364*I364*B11^2)</f>
        <v>-3.9628087289237754</v>
      </c>
      <c r="C366" s="72"/>
    </row>
    <row r="367" spans="1:15" s="474" customFormat="1" x14ac:dyDescent="0.25">
      <c r="C367" s="72"/>
    </row>
    <row r="368" spans="1:15" s="474" customFormat="1" x14ac:dyDescent="0.25">
      <c r="C368" s="72"/>
    </row>
    <row r="369" spans="1:33" x14ac:dyDescent="0.25">
      <c r="A369" t="s">
        <v>2339</v>
      </c>
    </row>
    <row r="370" spans="1:33" s="231" customFormat="1" ht="15.75" thickBot="1" x14ac:dyDescent="0.3"/>
    <row r="371" spans="1:33" s="42" customFormat="1" x14ac:dyDescent="0.25">
      <c r="A371" s="42" t="s">
        <v>2301</v>
      </c>
    </row>
    <row r="372" spans="1:33" x14ac:dyDescent="0.25">
      <c r="A372" s="474" t="s">
        <v>2289</v>
      </c>
      <c r="B372" s="474" t="s">
        <v>2290</v>
      </c>
      <c r="C372" t="s">
        <v>2303</v>
      </c>
      <c r="D372" t="s">
        <v>2304</v>
      </c>
    </row>
    <row r="373" spans="1:33" ht="15.75" thickBot="1" x14ac:dyDescent="0.3">
      <c r="A373" s="474">
        <v>0</v>
      </c>
      <c r="B373" s="474">
        <v>2.195610254493624E-2</v>
      </c>
      <c r="C373">
        <f>A373*100/$Z$2</f>
        <v>0</v>
      </c>
      <c r="D373">
        <f t="shared" ref="D373:D436" si="78">B373*$AB$8</f>
        <v>4.9359281932971769E-3</v>
      </c>
    </row>
    <row r="374" spans="1:33" ht="17.25" customHeight="1" thickBot="1" x14ac:dyDescent="0.3">
      <c r="A374" s="474">
        <v>1.1163166245281026E-3</v>
      </c>
      <c r="B374" s="474">
        <v>2.1956034224777297E-2</v>
      </c>
      <c r="C374" s="474">
        <f t="shared" ref="C374:C437" si="79">A374*100/$Z$2</f>
        <v>4.3949473406618214E-2</v>
      </c>
      <c r="D374" s="474">
        <f t="shared" si="78"/>
        <v>4.9359128343144975E-3</v>
      </c>
      <c r="K374" t="s">
        <v>2306</v>
      </c>
      <c r="M374" s="474"/>
      <c r="N374" s="474"/>
      <c r="O374" s="474"/>
      <c r="P374" s="474"/>
      <c r="Q374" s="474"/>
      <c r="R374" s="21" t="s">
        <v>705</v>
      </c>
      <c r="S374" s="9" t="s">
        <v>706</v>
      </c>
      <c r="T374" s="9" t="s">
        <v>707</v>
      </c>
      <c r="U374" s="9" t="s">
        <v>708</v>
      </c>
      <c r="V374" s="9" t="s">
        <v>709</v>
      </c>
      <c r="W374" s="9"/>
      <c r="X374" s="9"/>
      <c r="Y374" s="9"/>
      <c r="Z374" s="9"/>
      <c r="AA374" s="10"/>
      <c r="AB374" s="474"/>
      <c r="AC374" s="20" t="s">
        <v>705</v>
      </c>
      <c r="AD374" s="7" t="s">
        <v>706</v>
      </c>
      <c r="AE374" s="7" t="s">
        <v>707</v>
      </c>
      <c r="AF374" s="7" t="s">
        <v>708</v>
      </c>
      <c r="AG374" s="7" t="s">
        <v>709</v>
      </c>
    </row>
    <row r="375" spans="1:33" ht="17.25" x14ac:dyDescent="0.25">
      <c r="A375" s="474">
        <v>2.2326332490562053E-3</v>
      </c>
      <c r="B375" s="474">
        <v>2.195582926202307E-2</v>
      </c>
      <c r="C375" s="474">
        <f t="shared" si="79"/>
        <v>8.7898946813236428E-2</v>
      </c>
      <c r="D375" s="474">
        <f t="shared" si="78"/>
        <v>4.9358667568544798E-3</v>
      </c>
      <c r="M375" s="22" t="s">
        <v>2307</v>
      </c>
      <c r="N375" t="s">
        <v>2306</v>
      </c>
      <c r="O375" s="474" t="s">
        <v>2308</v>
      </c>
      <c r="P375" s="474"/>
      <c r="Q375" s="474"/>
      <c r="R375" s="11" t="str">
        <f>MID($N375,FIND(W375,$N375)-6,6)</f>
        <v>-3E-07</v>
      </c>
      <c r="S375" s="7" t="str">
        <f>MID($N375,FIND(X375,$N375)-5,5)</f>
        <v>5E-06</v>
      </c>
      <c r="T375" s="7" t="str">
        <f>MID($N375,FIND(Y375,$N375)-5,5)</f>
        <v>4E-05</v>
      </c>
      <c r="U375" s="7" t="str">
        <f>MID($N375,FIND(Z375,$N375)-5,5)</f>
        <v>8E-05</v>
      </c>
      <c r="V375" s="7" t="str">
        <f>RIGHT(N375,6)</f>
        <v>0.0049</v>
      </c>
      <c r="W375" s="7" t="s">
        <v>710</v>
      </c>
      <c r="X375" s="7" t="s">
        <v>711</v>
      </c>
      <c r="Y375" s="7" t="s">
        <v>712</v>
      </c>
      <c r="Z375" s="7" t="s">
        <v>728</v>
      </c>
      <c r="AA375" s="12"/>
      <c r="AB375" s="474"/>
      <c r="AC375" s="7" t="str">
        <f>R375</f>
        <v>-3E-07</v>
      </c>
      <c r="AD375" s="7" t="str">
        <f t="shared" ref="AD375:AF375" si="80">S375</f>
        <v>5E-06</v>
      </c>
      <c r="AE375" s="7">
        <f>-T375</f>
        <v>-4.0000000000000003E-5</v>
      </c>
      <c r="AF375" s="7" t="str">
        <f t="shared" si="80"/>
        <v>8E-05</v>
      </c>
      <c r="AG375" s="7" t="str">
        <f>V375</f>
        <v>0.0049</v>
      </c>
    </row>
    <row r="376" spans="1:33" x14ac:dyDescent="0.25">
      <c r="A376" s="474">
        <v>3.3489498735843077E-3</v>
      </c>
      <c r="B376" s="474">
        <v>2.1955487649840989E-2</v>
      </c>
      <c r="C376" s="474">
        <f t="shared" si="79"/>
        <v>0.13184842021985463</v>
      </c>
      <c r="D376" s="474">
        <f t="shared" si="78"/>
        <v>4.9357899593811009E-3</v>
      </c>
      <c r="M376" s="23"/>
      <c r="N376" s="474"/>
      <c r="O376" s="474"/>
      <c r="P376" s="474"/>
      <c r="Q376" s="474"/>
      <c r="R376" s="11"/>
      <c r="S376" s="7"/>
      <c r="T376" s="7"/>
      <c r="U376" s="7"/>
      <c r="V376" s="7"/>
      <c r="W376" s="7"/>
      <c r="X376" s="7"/>
      <c r="Y376" s="7"/>
      <c r="Z376" s="7"/>
      <c r="AA376" s="12"/>
      <c r="AB376" s="474"/>
      <c r="AC376" s="7"/>
      <c r="AD376" s="7"/>
      <c r="AE376" s="7"/>
      <c r="AF376" s="7"/>
      <c r="AG376" s="7"/>
    </row>
    <row r="377" spans="1:33" ht="15.75" thickBot="1" x14ac:dyDescent="0.3">
      <c r="A377" s="474">
        <v>4.4652664981124105E-3</v>
      </c>
      <c r="B377" s="474">
        <v>2.195500937684218E-2</v>
      </c>
      <c r="C377" s="474">
        <f t="shared" si="79"/>
        <v>0.17579789362647286</v>
      </c>
      <c r="D377" s="474">
        <f t="shared" si="78"/>
        <v>4.935682439334039E-3</v>
      </c>
      <c r="M377" s="24"/>
      <c r="N377" s="474"/>
      <c r="O377" s="474"/>
      <c r="P377" s="474"/>
      <c r="Q377" s="474"/>
      <c r="R377" s="13"/>
      <c r="S377" s="14"/>
      <c r="T377" s="14"/>
      <c r="U377" s="14"/>
      <c r="V377" s="14"/>
      <c r="W377" s="14"/>
      <c r="X377" s="14"/>
      <c r="Y377" s="14"/>
      <c r="Z377" s="14"/>
      <c r="AA377" s="15"/>
      <c r="AB377" s="474"/>
      <c r="AC377" s="7"/>
      <c r="AD377" s="7"/>
      <c r="AE377" s="7"/>
      <c r="AF377" s="7"/>
      <c r="AG377" s="7"/>
    </row>
    <row r="378" spans="1:33" x14ac:dyDescent="0.25">
      <c r="A378" s="474">
        <v>5.5815831226405134E-3</v>
      </c>
      <c r="B378" s="474">
        <v>2.1954394427079561E-2</v>
      </c>
      <c r="C378" s="474">
        <f t="shared" si="79"/>
        <v>0.21974736703309106</v>
      </c>
      <c r="D378" s="474">
        <f t="shared" si="78"/>
        <v>4.9355441931282495E-3</v>
      </c>
    </row>
    <row r="379" spans="1:33" x14ac:dyDescent="0.25">
      <c r="A379" s="474">
        <v>6.6978997471686154E-3</v>
      </c>
      <c r="B379" s="474">
        <v>2.1953642780045184E-2</v>
      </c>
      <c r="C379" s="474">
        <f t="shared" si="79"/>
        <v>0.26369684043970926</v>
      </c>
      <c r="D379" s="474">
        <f t="shared" si="78"/>
        <v>4.9353752161533605E-3</v>
      </c>
      <c r="W379" t="s">
        <v>2305</v>
      </c>
    </row>
    <row r="380" spans="1:33" x14ac:dyDescent="0.25">
      <c r="A380" s="474">
        <v>7.8142163716967191E-3</v>
      </c>
      <c r="B380" s="474">
        <v>2.1952754410666801E-2</v>
      </c>
      <c r="C380" s="474">
        <f t="shared" si="79"/>
        <v>0.30764631384632751</v>
      </c>
      <c r="D380" s="474">
        <f t="shared" si="78"/>
        <v>4.9351755027729075E-3</v>
      </c>
    </row>
    <row r="381" spans="1:33" x14ac:dyDescent="0.25">
      <c r="A381" s="474">
        <v>8.9305329962248211E-3</v>
      </c>
      <c r="B381" s="474">
        <v>2.1951729289303702E-2</v>
      </c>
      <c r="C381" s="474">
        <f t="shared" si="79"/>
        <v>0.35159578725294571</v>
      </c>
      <c r="D381" s="474">
        <f t="shared" si="78"/>
        <v>4.9349450463233935E-3</v>
      </c>
    </row>
    <row r="382" spans="1:33" x14ac:dyDescent="0.25">
      <c r="A382" s="474">
        <v>1.0046849620752923E-2</v>
      </c>
      <c r="B382" s="474">
        <v>2.1950567381741753E-2</v>
      </c>
      <c r="C382" s="474">
        <f t="shared" si="79"/>
        <v>0.39554526065956386</v>
      </c>
      <c r="D382" s="474">
        <f t="shared" si="78"/>
        <v>4.9346838391131752E-3</v>
      </c>
    </row>
    <row r="383" spans="1:33" x14ac:dyDescent="0.25">
      <c r="A383" s="474">
        <v>1.1163166245281027E-2</v>
      </c>
      <c r="B383" s="474">
        <v>2.1949268649187698E-2</v>
      </c>
      <c r="C383" s="474">
        <f t="shared" si="79"/>
        <v>0.43949473406618211</v>
      </c>
      <c r="D383" s="474">
        <f t="shared" si="78"/>
        <v>4.9343918724211819E-3</v>
      </c>
    </row>
    <row r="384" spans="1:33" x14ac:dyDescent="0.25">
      <c r="A384" s="474">
        <v>1.2279482869809129E-2</v>
      </c>
      <c r="B384" s="474">
        <v>2.1947833048262637E-2</v>
      </c>
      <c r="C384" s="474">
        <f t="shared" si="79"/>
        <v>0.48344420747280031</v>
      </c>
      <c r="D384" s="474">
        <f t="shared" si="78"/>
        <v>4.9340691364954488E-3</v>
      </c>
    </row>
    <row r="385" spans="1:4" x14ac:dyDescent="0.25">
      <c r="A385" s="474">
        <v>1.3395799494337231E-2</v>
      </c>
      <c r="B385" s="474">
        <v>2.1946260530994816E-2</v>
      </c>
      <c r="C385" s="474">
        <f t="shared" si="79"/>
        <v>0.52739368087941851</v>
      </c>
      <c r="D385" s="474">
        <f t="shared" si="78"/>
        <v>4.9337156205514964E-3</v>
      </c>
    </row>
    <row r="386" spans="1:4" x14ac:dyDescent="0.25">
      <c r="A386" s="474">
        <v>1.4512116118865334E-2</v>
      </c>
      <c r="B386" s="474">
        <v>2.1944551044811585E-2</v>
      </c>
      <c r="C386" s="474">
        <f t="shared" si="79"/>
        <v>0.57134315428603677</v>
      </c>
      <c r="D386" s="474">
        <f t="shared" si="78"/>
        <v>4.933331312770523E-3</v>
      </c>
    </row>
    <row r="387" spans="1:4" x14ac:dyDescent="0.25">
      <c r="A387" s="474">
        <v>1.5628432743393438E-2</v>
      </c>
      <c r="B387" s="474">
        <v>2.1942704532530572E-2</v>
      </c>
      <c r="C387" s="474">
        <f t="shared" si="79"/>
        <v>0.61529262769265503</v>
      </c>
      <c r="D387" s="474">
        <f t="shared" si="78"/>
        <v>4.9329162002974209E-3</v>
      </c>
    </row>
    <row r="388" spans="1:4" x14ac:dyDescent="0.25">
      <c r="A388" s="474">
        <v>1.674474936792154E-2</v>
      </c>
      <c r="B388" s="474">
        <v>2.1940720932350125E-2</v>
      </c>
      <c r="C388" s="474">
        <f t="shared" si="79"/>
        <v>0.65924210109927328</v>
      </c>
      <c r="D388" s="474">
        <f t="shared" si="78"/>
        <v>4.9324702692386249E-3</v>
      </c>
    </row>
    <row r="389" spans="1:4" x14ac:dyDescent="0.25">
      <c r="A389" s="474">
        <v>1.7861065992449642E-2</v>
      </c>
      <c r="B389" s="474">
        <v>2.1938600177838913E-2</v>
      </c>
      <c r="C389" s="474">
        <f t="shared" si="79"/>
        <v>0.70319157450589143</v>
      </c>
      <c r="D389" s="474">
        <f t="shared" si="78"/>
        <v>4.9319935046597783E-3</v>
      </c>
    </row>
    <row r="390" spans="1:4" x14ac:dyDescent="0.25">
      <c r="A390" s="474">
        <v>1.8977382616977744E-2</v>
      </c>
      <c r="B390" s="474">
        <v>2.1936342197924799E-2</v>
      </c>
      <c r="C390" s="474">
        <f t="shared" si="79"/>
        <v>0.74714104791250968</v>
      </c>
      <c r="D390" s="474">
        <f t="shared" si="78"/>
        <v>4.9314858905832289E-3</v>
      </c>
    </row>
    <row r="391" spans="1:4" x14ac:dyDescent="0.25">
      <c r="A391" s="474">
        <v>2.0093699241505846E-2</v>
      </c>
      <c r="B391" s="474">
        <v>2.1933946916882864E-2</v>
      </c>
      <c r="C391" s="474">
        <f t="shared" si="79"/>
        <v>0.79109052131912772</v>
      </c>
      <c r="D391" s="474">
        <f t="shared" si="78"/>
        <v>4.9309474099853371E-3</v>
      </c>
    </row>
    <row r="392" spans="1:4" x14ac:dyDescent="0.25">
      <c r="A392" s="474">
        <v>2.1210015866033952E-2</v>
      </c>
      <c r="B392" s="474">
        <v>2.1931414254322663E-2</v>
      </c>
      <c r="C392" s="474">
        <f t="shared" si="79"/>
        <v>0.83503999472574619</v>
      </c>
      <c r="D392" s="474">
        <f t="shared" si="78"/>
        <v>4.9303780447936133E-3</v>
      </c>
    </row>
    <row r="393" spans="1:4" x14ac:dyDescent="0.25">
      <c r="A393" s="474">
        <v>2.2326332490562054E-2</v>
      </c>
      <c r="B393" s="474">
        <v>2.1928744125174676E-2</v>
      </c>
      <c r="C393" s="474">
        <f t="shared" si="79"/>
        <v>0.87898946813236423</v>
      </c>
      <c r="D393" s="474">
        <f t="shared" si="78"/>
        <v>4.9297777758836687E-3</v>
      </c>
    </row>
    <row r="394" spans="1:4" x14ac:dyDescent="0.25">
      <c r="A394" s="474">
        <v>2.3442649115090156E-2</v>
      </c>
      <c r="B394" s="474">
        <v>2.1925936439675952E-2</v>
      </c>
      <c r="C394" s="474">
        <f t="shared" si="79"/>
        <v>0.92293894153898259</v>
      </c>
      <c r="D394" s="474">
        <f t="shared" si="78"/>
        <v>4.9291465830759874E-3</v>
      </c>
    </row>
    <row r="395" spans="1:4" x14ac:dyDescent="0.25">
      <c r="A395" s="474">
        <v>2.4558965739618258E-2</v>
      </c>
      <c r="B395" s="474">
        <v>2.1922991103354925E-2</v>
      </c>
      <c r="C395" s="474">
        <f t="shared" si="79"/>
        <v>0.96688841494560063</v>
      </c>
      <c r="D395" s="474">
        <f t="shared" si="78"/>
        <v>4.9284844451325189E-3</v>
      </c>
    </row>
    <row r="396" spans="1:4" x14ac:dyDescent="0.25">
      <c r="A396" s="474">
        <v>2.567528236414636E-2</v>
      </c>
      <c r="B396" s="474">
        <v>2.1919908017015419E-2</v>
      </c>
      <c r="C396" s="474">
        <f t="shared" si="79"/>
        <v>1.0108378883522189</v>
      </c>
      <c r="D396" s="474">
        <f t="shared" si="78"/>
        <v>4.9277913397530737E-3</v>
      </c>
    </row>
    <row r="397" spans="1:4" x14ac:dyDescent="0.25">
      <c r="A397" s="474">
        <v>2.6791598988674462E-2</v>
      </c>
      <c r="B397" s="474">
        <v>2.191668707671985E-2</v>
      </c>
      <c r="C397" s="474">
        <f t="shared" si="79"/>
        <v>1.054787361758837</v>
      </c>
      <c r="D397" s="474">
        <f t="shared" si="78"/>
        <v>4.9270672435715547E-3</v>
      </c>
    </row>
    <row r="398" spans="1:4" x14ac:dyDescent="0.25">
      <c r="A398" s="474">
        <v>2.7907915613202567E-2</v>
      </c>
      <c r="B398" s="474">
        <v>2.1913328173771549E-2</v>
      </c>
      <c r="C398" s="474">
        <f t="shared" si="79"/>
        <v>1.0987368351654554</v>
      </c>
      <c r="D398" s="474">
        <f t="shared" si="78"/>
        <v>4.9263121321519781E-3</v>
      </c>
    </row>
    <row r="399" spans="1:4" x14ac:dyDescent="0.25">
      <c r="A399" s="474">
        <v>2.9024232237730669E-2</v>
      </c>
      <c r="B399" s="474">
        <v>2.1909831194696285E-2</v>
      </c>
      <c r="C399" s="474">
        <f t="shared" si="79"/>
        <v>1.1426863085720735</v>
      </c>
      <c r="D399" s="474">
        <f t="shared" si="78"/>
        <v>4.9255259799843229E-3</v>
      </c>
    </row>
    <row r="400" spans="1:4" x14ac:dyDescent="0.25">
      <c r="A400" s="474">
        <v>3.0140548862258771E-2</v>
      </c>
      <c r="B400" s="474">
        <v>2.1906196021222922E-2</v>
      </c>
      <c r="C400" s="474">
        <f t="shared" si="79"/>
        <v>1.1866357819786917</v>
      </c>
      <c r="D400" s="474">
        <f t="shared" si="78"/>
        <v>4.9247087604801796E-3</v>
      </c>
    </row>
    <row r="401" spans="1:4" x14ac:dyDescent="0.25">
      <c r="A401" s="474">
        <v>3.1256865486786876E-2</v>
      </c>
      <c r="B401" s="474">
        <v>2.1902422530263223E-2</v>
      </c>
      <c r="C401" s="474">
        <f t="shared" si="79"/>
        <v>1.2305852553853101</v>
      </c>
      <c r="D401" s="474">
        <f t="shared" si="78"/>
        <v>4.9238604459682115E-3</v>
      </c>
    </row>
    <row r="402" spans="1:4" x14ac:dyDescent="0.25">
      <c r="A402" s="474">
        <v>3.2373182111314978E-2</v>
      </c>
      <c r="B402" s="474">
        <v>2.1898510593890801E-2</v>
      </c>
      <c r="C402" s="474">
        <f t="shared" si="79"/>
        <v>1.2745347287919282</v>
      </c>
      <c r="D402" s="474">
        <f t="shared" si="78"/>
        <v>4.9229810076894228E-3</v>
      </c>
    </row>
    <row r="403" spans="1:4" x14ac:dyDescent="0.25">
      <c r="A403" s="474">
        <v>3.348949873584308E-2</v>
      </c>
      <c r="B403" s="474">
        <v>2.1894460079319181E-2</v>
      </c>
      <c r="C403" s="474">
        <f t="shared" si="79"/>
        <v>1.3184842021985466</v>
      </c>
      <c r="D403" s="474">
        <f t="shared" si="78"/>
        <v>4.9220704157922268E-3</v>
      </c>
    </row>
    <row r="404" spans="1:4" x14ac:dyDescent="0.25">
      <c r="A404" s="474">
        <v>3.4605815360371182E-2</v>
      </c>
      <c r="B404" s="474">
        <v>2.1890270848878984E-2</v>
      </c>
      <c r="C404" s="474">
        <f t="shared" si="79"/>
        <v>1.3624336756051647</v>
      </c>
      <c r="D404" s="474">
        <f t="shared" si="78"/>
        <v>4.9211286393273162E-3</v>
      </c>
    </row>
    <row r="405" spans="1:4" x14ac:dyDescent="0.25">
      <c r="A405" s="474">
        <v>3.5722131984899284E-2</v>
      </c>
      <c r="B405" s="474">
        <v>2.1885942759994274E-2</v>
      </c>
      <c r="C405" s="474">
        <f t="shared" si="79"/>
        <v>1.4063831490117829</v>
      </c>
      <c r="D405" s="474">
        <f t="shared" si="78"/>
        <v>4.9201556462423459E-3</v>
      </c>
    </row>
    <row r="406" spans="1:4" x14ac:dyDescent="0.25">
      <c r="A406" s="474">
        <v>3.6838448609427386E-2</v>
      </c>
      <c r="B406" s="474">
        <v>2.1881475665157888E-2</v>
      </c>
      <c r="C406" s="474">
        <f t="shared" si="79"/>
        <v>1.450332622418401</v>
      </c>
      <c r="D406" s="474">
        <f t="shared" si="78"/>
        <v>4.9191514033763853E-3</v>
      </c>
    </row>
    <row r="407" spans="1:4" x14ac:dyDescent="0.25">
      <c r="A407" s="474">
        <v>3.7954765233955488E-2</v>
      </c>
      <c r="B407" s="474">
        <v>2.1876869411905992E-2</v>
      </c>
      <c r="C407" s="474">
        <f t="shared" si="79"/>
        <v>1.4942820958250194</v>
      </c>
      <c r="D407" s="474">
        <f t="shared" si="78"/>
        <v>4.9181158764542016E-3</v>
      </c>
    </row>
    <row r="408" spans="1:4" x14ac:dyDescent="0.25">
      <c r="A408" s="474">
        <v>3.907108185848359E-2</v>
      </c>
      <c r="B408" s="474">
        <v>2.1872123842791621E-2</v>
      </c>
      <c r="C408" s="474">
        <f t="shared" si="79"/>
        <v>1.5382315692316373</v>
      </c>
      <c r="D408" s="474">
        <f t="shared" si="78"/>
        <v>4.9170490300803095E-3</v>
      </c>
    </row>
    <row r="409" spans="1:4" x14ac:dyDescent="0.25">
      <c r="A409" s="474">
        <v>4.0187398483011692E-2</v>
      </c>
      <c r="B409" s="474">
        <v>2.1867238795357333E-2</v>
      </c>
      <c r="C409" s="474">
        <f t="shared" si="79"/>
        <v>1.5821810426382554</v>
      </c>
      <c r="D409" s="474">
        <f t="shared" si="78"/>
        <v>4.9159508277328238E-3</v>
      </c>
    </row>
    <row r="410" spans="1:4" x14ac:dyDescent="0.25">
      <c r="A410" s="474">
        <v>4.1303715107539794E-2</v>
      </c>
      <c r="B410" s="474">
        <v>2.1862214102106911E-2</v>
      </c>
      <c r="C410" s="474">
        <f t="shared" si="79"/>
        <v>1.626130516044874</v>
      </c>
      <c r="D410" s="474">
        <f t="shared" si="78"/>
        <v>4.9148212317570959E-3</v>
      </c>
    </row>
    <row r="411" spans="1:4" x14ac:dyDescent="0.25">
      <c r="A411" s="474">
        <v>4.2420031732067903E-2</v>
      </c>
      <c r="B411" s="474">
        <v>2.1857049590476109E-2</v>
      </c>
      <c r="C411" s="474">
        <f t="shared" si="79"/>
        <v>1.6700799894514924</v>
      </c>
      <c r="D411" s="474">
        <f t="shared" si="78"/>
        <v>4.9136602033591405E-3</v>
      </c>
    </row>
    <row r="412" spans="1:4" x14ac:dyDescent="0.25">
      <c r="A412" s="474">
        <v>4.3536348356596005E-2</v>
      </c>
      <c r="B412" s="474">
        <v>2.1851745082802423E-2</v>
      </c>
      <c r="C412" s="474">
        <f t="shared" si="79"/>
        <v>1.7140294628581105</v>
      </c>
      <c r="D412" s="474">
        <f t="shared" si="78"/>
        <v>4.9124677025988387E-3</v>
      </c>
    </row>
    <row r="413" spans="1:4" x14ac:dyDescent="0.25">
      <c r="A413" s="474">
        <v>4.4652664981124107E-2</v>
      </c>
      <c r="B413" s="474">
        <v>2.1846300396293913E-2</v>
      </c>
      <c r="C413" s="474">
        <f t="shared" si="79"/>
        <v>1.7579789362647285</v>
      </c>
      <c r="D413" s="474">
        <f t="shared" si="78"/>
        <v>4.9112436883829271E-3</v>
      </c>
    </row>
    <row r="414" spans="1:4" x14ac:dyDescent="0.25">
      <c r="A414" s="474">
        <v>4.5768981605652209E-2</v>
      </c>
      <c r="B414" s="474">
        <v>2.1840715342997002E-2</v>
      </c>
      <c r="C414" s="474">
        <f t="shared" si="79"/>
        <v>1.8019284096713466</v>
      </c>
      <c r="D414" s="474">
        <f t="shared" si="78"/>
        <v>4.9099881184577606E-3</v>
      </c>
    </row>
    <row r="415" spans="1:4" x14ac:dyDescent="0.25">
      <c r="A415" s="474">
        <v>4.6885298230180311E-2</v>
      </c>
      <c r="B415" s="474">
        <v>2.1834989729763294E-2</v>
      </c>
      <c r="C415" s="474">
        <f t="shared" si="79"/>
        <v>1.8458778830779652</v>
      </c>
      <c r="D415" s="474">
        <f t="shared" si="78"/>
        <v>4.9087009494018525E-3</v>
      </c>
    </row>
    <row r="416" spans="1:4" x14ac:dyDescent="0.25">
      <c r="A416" s="474">
        <v>4.8001614854708413E-2</v>
      </c>
      <c r="B416" s="474">
        <v>2.1829123358215338E-2</v>
      </c>
      <c r="C416" s="474">
        <f t="shared" si="79"/>
        <v>1.8898273564845831</v>
      </c>
      <c r="D416" s="474">
        <f t="shared" si="78"/>
        <v>4.9073821366181786E-3</v>
      </c>
    </row>
    <row r="417" spans="1:4" x14ac:dyDescent="0.25">
      <c r="A417" s="474">
        <v>4.9117931479236515E-2</v>
      </c>
      <c r="B417" s="474">
        <v>2.1823116024711427E-2</v>
      </c>
      <c r="C417" s="474">
        <f t="shared" si="79"/>
        <v>1.9337768298912013</v>
      </c>
      <c r="D417" s="474">
        <f t="shared" si="78"/>
        <v>4.9060316343262625E-3</v>
      </c>
    </row>
    <row r="418" spans="1:4" x14ac:dyDescent="0.25">
      <c r="A418" s="474">
        <v>5.0234248103764617E-2</v>
      </c>
      <c r="B418" s="474">
        <v>2.1816967520309264E-2</v>
      </c>
      <c r="C418" s="474">
        <f t="shared" si="79"/>
        <v>1.9777263032978194</v>
      </c>
      <c r="D418" s="474">
        <f t="shared" si="78"/>
        <v>4.9046493955540059E-3</v>
      </c>
    </row>
    <row r="419" spans="1:4" x14ac:dyDescent="0.25">
      <c r="A419" s="474">
        <v>5.1350564728292719E-2</v>
      </c>
      <c r="B419" s="474">
        <v>2.1810677630728609E-2</v>
      </c>
      <c r="C419" s="474">
        <f t="shared" si="79"/>
        <v>2.0216757767044378</v>
      </c>
      <c r="D419" s="474">
        <f t="shared" si="78"/>
        <v>4.9032353721292958E-3</v>
      </c>
    </row>
    <row r="420" spans="1:4" x14ac:dyDescent="0.25">
      <c r="A420" s="474">
        <v>5.2466881352820821E-2</v>
      </c>
      <c r="B420" s="474">
        <v>2.180424613631288E-2</v>
      </c>
      <c r="C420" s="474">
        <f t="shared" si="79"/>
        <v>2.0656252501110561</v>
      </c>
      <c r="D420" s="474">
        <f t="shared" si="78"/>
        <v>4.9017895146713673E-3</v>
      </c>
    </row>
    <row r="421" spans="1:4" x14ac:dyDescent="0.25">
      <c r="A421" s="474">
        <v>5.3583197977348923E-2</v>
      </c>
      <c r="B421" s="474">
        <v>2.1797672811989584E-2</v>
      </c>
      <c r="C421" s="474">
        <f t="shared" si="79"/>
        <v>2.1095747235176741</v>
      </c>
      <c r="D421" s="474">
        <f t="shared" si="78"/>
        <v>4.9003117725819126E-3</v>
      </c>
    </row>
    <row r="422" spans="1:4" x14ac:dyDescent="0.25">
      <c r="A422" s="474">
        <v>5.4699514601877032E-2</v>
      </c>
      <c r="B422" s="474">
        <v>2.1790957427229668E-2</v>
      </c>
      <c r="C422" s="474">
        <f t="shared" si="79"/>
        <v>2.1535241969242924</v>
      </c>
      <c r="D422" s="474">
        <f t="shared" si="78"/>
        <v>4.8988020940359377E-3</v>
      </c>
    </row>
    <row r="423" spans="1:4" x14ac:dyDescent="0.25">
      <c r="A423" s="474">
        <v>5.5815831226405134E-2</v>
      </c>
      <c r="B423" s="474">
        <v>2.1784099746005772E-2</v>
      </c>
      <c r="C423" s="474">
        <f t="shared" si="79"/>
        <v>2.1974736703309108</v>
      </c>
      <c r="D423" s="474">
        <f t="shared" si="78"/>
        <v>4.8972604259723829E-3</v>
      </c>
    </row>
    <row r="424" spans="1:4" x14ac:dyDescent="0.25">
      <c r="A424" s="474">
        <v>5.6932147850933236E-2</v>
      </c>
      <c r="B424" s="474">
        <v>2.1777099526749284E-2</v>
      </c>
      <c r="C424" s="474">
        <f t="shared" si="79"/>
        <v>2.2414231437375292</v>
      </c>
      <c r="D424" s="474">
        <f t="shared" si="78"/>
        <v>4.8956867140844624E-3</v>
      </c>
    </row>
    <row r="425" spans="1:4" x14ac:dyDescent="0.25">
      <c r="A425" s="474">
        <v>5.8048464475461338E-2</v>
      </c>
      <c r="B425" s="474">
        <v>2.176995652230624E-2</v>
      </c>
      <c r="C425" s="474">
        <f t="shared" si="79"/>
        <v>2.2853726171441471</v>
      </c>
      <c r="D425" s="474">
        <f t="shared" si="78"/>
        <v>4.8940809028097561E-3</v>
      </c>
    </row>
    <row r="426" spans="1:4" x14ac:dyDescent="0.25">
      <c r="A426" s="474">
        <v>5.916478109998944E-2</v>
      </c>
      <c r="B426" s="474">
        <v>2.1762670479892068E-2</v>
      </c>
      <c r="C426" s="474">
        <f t="shared" si="79"/>
        <v>2.3293220905507654</v>
      </c>
      <c r="D426" s="474">
        <f t="shared" si="78"/>
        <v>4.8924429353200318E-3</v>
      </c>
    </row>
    <row r="427" spans="1:4" x14ac:dyDescent="0.25">
      <c r="A427" s="474">
        <v>6.0281097724517542E-2</v>
      </c>
      <c r="B427" s="474">
        <v>2.1755241141045066E-2</v>
      </c>
      <c r="C427" s="474">
        <f t="shared" si="79"/>
        <v>2.3732715639573834</v>
      </c>
      <c r="D427" s="474">
        <f t="shared" si="78"/>
        <v>4.8907727535107857E-3</v>
      </c>
    </row>
    <row r="428" spans="1:4" x14ac:dyDescent="0.25">
      <c r="A428" s="474">
        <v>6.1397414349045644E-2</v>
      </c>
      <c r="B428" s="474">
        <v>2.1747668241578699E-2</v>
      </c>
      <c r="C428" s="474">
        <f t="shared" si="79"/>
        <v>2.4172210373640017</v>
      </c>
      <c r="D428" s="474">
        <f t="shared" si="78"/>
        <v>4.8890702979905252E-3</v>
      </c>
    </row>
    <row r="429" spans="1:4" x14ac:dyDescent="0.25">
      <c r="A429" s="474">
        <v>6.2513730973573753E-2</v>
      </c>
      <c r="B429" s="474">
        <v>2.173995151153266E-2</v>
      </c>
      <c r="C429" s="474">
        <f t="shared" si="79"/>
        <v>2.4611705107706201</v>
      </c>
      <c r="D429" s="474">
        <f t="shared" si="78"/>
        <v>4.8873355080697569E-3</v>
      </c>
    </row>
    <row r="430" spans="1:4" x14ac:dyDescent="0.25">
      <c r="A430" s="474">
        <v>6.3630047598101855E-2</v>
      </c>
      <c r="B430" s="474">
        <v>2.1732090675122578E-2</v>
      </c>
      <c r="C430" s="474">
        <f t="shared" si="79"/>
        <v>2.5051199841772385</v>
      </c>
      <c r="D430" s="474">
        <f t="shared" si="78"/>
        <v>4.8855683217496892E-3</v>
      </c>
    </row>
    <row r="431" spans="1:4" x14ac:dyDescent="0.25">
      <c r="A431" s="474">
        <v>6.4746364222629957E-2</v>
      </c>
      <c r="B431" s="474">
        <v>2.1724085450688536E-2</v>
      </c>
      <c r="C431" s="474">
        <f t="shared" si="79"/>
        <v>2.5490694575838564</v>
      </c>
      <c r="D431" s="474">
        <f t="shared" si="78"/>
        <v>4.8837686757106534E-3</v>
      </c>
    </row>
    <row r="432" spans="1:4" x14ac:dyDescent="0.25">
      <c r="A432" s="474">
        <v>6.5862680847158059E-2</v>
      </c>
      <c r="B432" s="474">
        <v>2.1715935550642183E-2</v>
      </c>
      <c r="C432" s="474">
        <f t="shared" si="79"/>
        <v>2.5930189309904748</v>
      </c>
      <c r="D432" s="474">
        <f t="shared" si="78"/>
        <v>4.8819365053002165E-3</v>
      </c>
    </row>
    <row r="433" spans="1:4" x14ac:dyDescent="0.25">
      <c r="A433" s="474">
        <v>6.6978997471686161E-2</v>
      </c>
      <c r="B433" s="474">
        <v>2.1707640681412579E-2</v>
      </c>
      <c r="C433" s="474">
        <f t="shared" si="79"/>
        <v>2.6369684043970931</v>
      </c>
      <c r="D433" s="474">
        <f t="shared" si="78"/>
        <v>4.8800717445210062E-3</v>
      </c>
    </row>
    <row r="434" spans="1:4" x14ac:dyDescent="0.25">
      <c r="A434" s="474">
        <v>6.8095314096214263E-2</v>
      </c>
      <c r="B434" s="474">
        <v>2.1699200543390602E-2</v>
      </c>
      <c r="C434" s="474">
        <f t="shared" si="79"/>
        <v>2.680917877803711</v>
      </c>
      <c r="D434" s="474">
        <f t="shared" si="78"/>
        <v>4.8781743260182123E-3</v>
      </c>
    </row>
    <row r="435" spans="1:4" x14ac:dyDescent="0.25">
      <c r="A435" s="474">
        <v>6.9211630720742365E-2</v>
      </c>
      <c r="B435" s="474">
        <v>2.1690614830872021E-2</v>
      </c>
      <c r="C435" s="474">
        <f t="shared" si="79"/>
        <v>2.7248673512103294</v>
      </c>
      <c r="D435" s="474">
        <f t="shared" si="78"/>
        <v>4.876244181066791E-3</v>
      </c>
    </row>
    <row r="436" spans="1:4" x14ac:dyDescent="0.25">
      <c r="A436" s="474">
        <v>7.0327947345270467E-2</v>
      </c>
      <c r="B436" s="474">
        <v>2.168188323199912E-2</v>
      </c>
      <c r="C436" s="474">
        <f t="shared" si="79"/>
        <v>2.7688168246169473</v>
      </c>
      <c r="D436" s="474">
        <f t="shared" si="78"/>
        <v>4.874281239558337E-3</v>
      </c>
    </row>
    <row r="437" spans="1:4" x14ac:dyDescent="0.25">
      <c r="A437" s="474">
        <v>7.1444263969798569E-2</v>
      </c>
      <c r="B437" s="474">
        <v>2.1673005428700896E-2</v>
      </c>
      <c r="C437" s="474">
        <f t="shared" si="79"/>
        <v>2.8127662980235657</v>
      </c>
      <c r="D437" s="474">
        <f t="shared" ref="D437:D500" si="81">B437*$AB$8</f>
        <v>4.8722854299876467E-3</v>
      </c>
    </row>
    <row r="438" spans="1:4" x14ac:dyDescent="0.25">
      <c r="A438" s="474">
        <v>7.2560580594326671E-2</v>
      </c>
      <c r="B438" s="474">
        <v>2.166398109663175E-2</v>
      </c>
      <c r="C438" s="474">
        <f t="shared" ref="C438:C501" si="82">A438*100/$Z$2</f>
        <v>2.8567157714301841</v>
      </c>
      <c r="D438" s="474">
        <f t="shared" si="81"/>
        <v>4.8702566794389269E-3</v>
      </c>
    </row>
    <row r="439" spans="1:4" x14ac:dyDescent="0.25">
      <c r="A439" s="474">
        <v>7.3676897218854773E-2</v>
      </c>
      <c r="B439" s="474">
        <v>2.1654809905108693E-2</v>
      </c>
      <c r="C439" s="474">
        <f t="shared" si="82"/>
        <v>2.900665244836802</v>
      </c>
      <c r="D439" s="474">
        <f t="shared" si="81"/>
        <v>4.8681949135716863E-3</v>
      </c>
    </row>
    <row r="440" spans="1:4" x14ac:dyDescent="0.25">
      <c r="A440" s="474">
        <v>7.4793213843382875E-2</v>
      </c>
      <c r="B440" s="474">
        <v>2.1645491517047054E-2</v>
      </c>
      <c r="C440" s="474">
        <f t="shared" si="82"/>
        <v>2.9446147182434199</v>
      </c>
      <c r="D440" s="474">
        <f t="shared" si="81"/>
        <v>4.866100056606276E-3</v>
      </c>
    </row>
    <row r="441" spans="1:4" x14ac:dyDescent="0.25">
      <c r="A441" s="474">
        <v>7.5909530467910977E-2</v>
      </c>
      <c r="B441" s="474">
        <v>2.1636025588894554E-2</v>
      </c>
      <c r="C441" s="474">
        <f t="shared" si="82"/>
        <v>2.9885641916500387</v>
      </c>
      <c r="D441" s="474">
        <f t="shared" si="81"/>
        <v>4.863972031309071E-3</v>
      </c>
    </row>
    <row r="442" spans="1:4" x14ac:dyDescent="0.25">
      <c r="A442" s="474">
        <v>7.7025847092439079E-2</v>
      </c>
      <c r="B442" s="474">
        <v>2.1626411770563854E-2</v>
      </c>
      <c r="C442" s="474">
        <f t="shared" si="82"/>
        <v>3.0325136650566566</v>
      </c>
      <c r="D442" s="474">
        <f t="shared" si="81"/>
        <v>4.8618107589773075E-3</v>
      </c>
    </row>
    <row r="443" spans="1:4" x14ac:dyDescent="0.25">
      <c r="A443" s="474">
        <v>7.8142163716967181E-2</v>
      </c>
      <c r="B443" s="474">
        <v>2.1616649705363415E-2</v>
      </c>
      <c r="C443" s="474">
        <f t="shared" si="82"/>
        <v>3.0764631384632746</v>
      </c>
      <c r="D443" s="474">
        <f t="shared" si="81"/>
        <v>4.8596161594235375E-3</v>
      </c>
    </row>
    <row r="444" spans="1:4" x14ac:dyDescent="0.25">
      <c r="A444" s="474">
        <v>7.9258480341495283E-2</v>
      </c>
      <c r="B444" s="474">
        <v>2.1606739029926752E-2</v>
      </c>
      <c r="C444" s="474">
        <f t="shared" si="82"/>
        <v>3.1204126118698929</v>
      </c>
      <c r="D444" s="474">
        <f t="shared" si="81"/>
        <v>4.8573881509597254E-3</v>
      </c>
    </row>
    <row r="445" spans="1:4" x14ac:dyDescent="0.25">
      <c r="A445" s="474">
        <v>8.0374796966023385E-2</v>
      </c>
      <c r="B445" s="474">
        <v>2.1596679374139938E-2</v>
      </c>
      <c r="C445" s="474">
        <f t="shared" si="82"/>
        <v>3.1643620852765109</v>
      </c>
      <c r="D445" s="474">
        <f t="shared" si="81"/>
        <v>4.8551266503809509E-3</v>
      </c>
    </row>
    <row r="446" spans="1:4" x14ac:dyDescent="0.25">
      <c r="A446" s="474">
        <v>8.1491113590551487E-2</v>
      </c>
      <c r="B446" s="474">
        <v>2.1586470361067422E-2</v>
      </c>
      <c r="C446" s="474">
        <f t="shared" si="82"/>
        <v>3.2083115586831292</v>
      </c>
      <c r="D446" s="474">
        <f t="shared" si="81"/>
        <v>4.852831572948732E-3</v>
      </c>
    </row>
    <row r="447" spans="1:4" x14ac:dyDescent="0.25">
      <c r="A447" s="474">
        <v>8.2607430215079589E-2</v>
      </c>
      <c r="B447" s="474">
        <v>2.1576111606876044E-2</v>
      </c>
      <c r="C447" s="474">
        <f t="shared" si="82"/>
        <v>3.252261032089748</v>
      </c>
      <c r="D447" s="474">
        <f t="shared" si="81"/>
        <v>4.8505028323739411E-3</v>
      </c>
    </row>
    <row r="448" spans="1:4" x14ac:dyDescent="0.25">
      <c r="A448" s="474">
        <v>8.3723746839607704E-2</v>
      </c>
      <c r="B448" s="474">
        <v>2.1565602720757276E-2</v>
      </c>
      <c r="C448" s="474">
        <f t="shared" si="82"/>
        <v>3.2962105054963664</v>
      </c>
      <c r="D448" s="474">
        <f t="shared" si="81"/>
        <v>4.848140340799327E-3</v>
      </c>
    </row>
    <row r="449" spans="1:4" x14ac:dyDescent="0.25">
      <c r="A449" s="474">
        <v>8.4840063464135806E-2</v>
      </c>
      <c r="B449" s="474">
        <v>2.155494330484756E-2</v>
      </c>
      <c r="C449" s="474">
        <f t="shared" si="82"/>
        <v>3.3401599789029848</v>
      </c>
      <c r="D449" s="474">
        <f t="shared" si="81"/>
        <v>4.8457440087816038E-3</v>
      </c>
    </row>
    <row r="450" spans="1:4" x14ac:dyDescent="0.25">
      <c r="A450" s="474">
        <v>8.5956380088663908E-2</v>
      </c>
      <c r="B450" s="474">
        <v>2.1544132954146832E-2</v>
      </c>
      <c r="C450" s="474">
        <f t="shared" si="82"/>
        <v>3.3841094523096027</v>
      </c>
      <c r="D450" s="474">
        <f t="shared" si="81"/>
        <v>4.843313745273135E-3</v>
      </c>
    </row>
    <row r="451" spans="1:4" x14ac:dyDescent="0.25">
      <c r="A451" s="474">
        <v>8.707269671319201E-2</v>
      </c>
      <c r="B451" s="474">
        <v>2.1533171256435071E-2</v>
      </c>
      <c r="C451" s="474">
        <f t="shared" si="82"/>
        <v>3.4280589257162211</v>
      </c>
      <c r="D451" s="474">
        <f t="shared" si="81"/>
        <v>4.8408494576031745E-3</v>
      </c>
    </row>
    <row r="452" spans="1:4" x14ac:dyDescent="0.25">
      <c r="A452" s="474">
        <v>8.8189013337720112E-2</v>
      </c>
      <c r="B452" s="474">
        <v>2.1522057792186862E-2</v>
      </c>
      <c r="C452" s="474">
        <f t="shared" si="82"/>
        <v>3.472008399122839</v>
      </c>
      <c r="D452" s="474">
        <f t="shared" si="81"/>
        <v>4.8383510514586562E-3</v>
      </c>
    </row>
    <row r="453" spans="1:4" x14ac:dyDescent="0.25">
      <c r="A453" s="474">
        <v>8.9305329962248214E-2</v>
      </c>
      <c r="B453" s="474">
        <v>2.1510792134484005E-2</v>
      </c>
      <c r="C453" s="474">
        <f t="shared" si="82"/>
        <v>3.5159578725294569</v>
      </c>
      <c r="D453" s="474">
        <f t="shared" si="81"/>
        <v>4.8358184308645519E-3</v>
      </c>
    </row>
    <row r="454" spans="1:4" x14ac:dyDescent="0.25">
      <c r="A454" s="474">
        <v>9.0421646586776316E-2</v>
      </c>
      <c r="B454" s="474">
        <v>2.1499373848926001E-2</v>
      </c>
      <c r="C454" s="474">
        <f t="shared" si="82"/>
        <v>3.5599073459360753</v>
      </c>
      <c r="D454" s="474">
        <f t="shared" si="81"/>
        <v>4.8332514981637448E-3</v>
      </c>
    </row>
    <row r="455" spans="1:4" x14ac:dyDescent="0.25">
      <c r="A455" s="474">
        <v>9.1537963211304418E-2</v>
      </c>
      <c r="B455" s="474">
        <v>2.148780249353846E-2</v>
      </c>
      <c r="C455" s="474">
        <f t="shared" si="82"/>
        <v>3.6038568193426932</v>
      </c>
      <c r="D455" s="474">
        <f t="shared" si="81"/>
        <v>4.8306501539964394E-3</v>
      </c>
    </row>
    <row r="456" spans="1:4" x14ac:dyDescent="0.25">
      <c r="A456" s="474">
        <v>9.265427983583252E-2</v>
      </c>
      <c r="B456" s="474">
        <v>2.1476077618679333E-2</v>
      </c>
      <c r="C456" s="474">
        <f t="shared" si="82"/>
        <v>3.6478062927493116</v>
      </c>
      <c r="D456" s="474">
        <f t="shared" si="81"/>
        <v>4.8280142972790827E-3</v>
      </c>
    </row>
    <row r="457" spans="1:4" x14ac:dyDescent="0.25">
      <c r="A457" s="474">
        <v>9.3770596460360622E-2</v>
      </c>
      <c r="B457" s="474">
        <v>2.1464198766942971E-2</v>
      </c>
      <c r="C457" s="474">
        <f t="shared" si="82"/>
        <v>3.6917557661559304</v>
      </c>
      <c r="D457" s="474">
        <f t="shared" si="81"/>
        <v>4.8253438251827938E-3</v>
      </c>
    </row>
    <row r="458" spans="1:4" x14ac:dyDescent="0.25">
      <c r="A458" s="474">
        <v>9.4886913084888724E-2</v>
      </c>
      <c r="B458" s="474">
        <v>2.1452165473061884E-2</v>
      </c>
      <c r="C458" s="474">
        <f t="shared" si="82"/>
        <v>3.7357052395625483</v>
      </c>
      <c r="D458" s="474">
        <f t="shared" si="81"/>
        <v>4.822638633111281E-3</v>
      </c>
    </row>
    <row r="459" spans="1:4" x14ac:dyDescent="0.25">
      <c r="A459" s="474">
        <v>9.6003229709416826E-2</v>
      </c>
      <c r="B459" s="474">
        <v>2.1439977263806205E-2</v>
      </c>
      <c r="C459" s="474">
        <f t="shared" si="82"/>
        <v>3.7796547129691662</v>
      </c>
      <c r="D459" s="474">
        <f t="shared" si="81"/>
        <v>4.8198986146782375E-3</v>
      </c>
    </row>
    <row r="460" spans="1:4" x14ac:dyDescent="0.25">
      <c r="A460" s="474">
        <v>9.7119546333944928E-2</v>
      </c>
      <c r="B460" s="474">
        <v>2.1427633657880796E-2</v>
      </c>
      <c r="C460" s="474">
        <f t="shared" si="82"/>
        <v>3.8236041863757846</v>
      </c>
      <c r="D460" s="474">
        <f t="shared" si="81"/>
        <v>4.8171236616842139E-3</v>
      </c>
    </row>
    <row r="461" spans="1:4" x14ac:dyDescent="0.25">
      <c r="A461" s="474">
        <v>9.823586295847303E-2</v>
      </c>
      <c r="B461" s="474">
        <v>2.141513416581993E-2</v>
      </c>
      <c r="C461" s="474">
        <f t="shared" si="82"/>
        <v>3.8675536597824025</v>
      </c>
      <c r="D461" s="474">
        <f t="shared" si="81"/>
        <v>4.8143136640929358E-3</v>
      </c>
    </row>
    <row r="462" spans="1:4" x14ac:dyDescent="0.25">
      <c r="A462" s="474">
        <v>9.9352179583001132E-2</v>
      </c>
      <c r="B462" s="474">
        <v>2.1402478289879449E-2</v>
      </c>
      <c r="C462" s="474">
        <f t="shared" si="82"/>
        <v>3.9115031331890209</v>
      </c>
      <c r="D462" s="474">
        <f t="shared" si="81"/>
        <v>4.8114685100070663E-3</v>
      </c>
    </row>
    <row r="463" spans="1:4" x14ac:dyDescent="0.25">
      <c r="A463" s="474">
        <v>0.10046849620752923</v>
      </c>
      <c r="B463" s="474">
        <v>2.1389665523926456E-2</v>
      </c>
      <c r="C463" s="474">
        <f t="shared" si="82"/>
        <v>3.9554526065956388</v>
      </c>
      <c r="D463" s="474">
        <f t="shared" si="81"/>
        <v>4.8085880856434046E-3</v>
      </c>
    </row>
    <row r="464" spans="1:4" x14ac:dyDescent="0.25">
      <c r="A464" s="474">
        <v>0.10158481283205734</v>
      </c>
      <c r="B464" s="474">
        <v>2.1376695353326321E-2</v>
      </c>
      <c r="C464" s="474">
        <f t="shared" si="82"/>
        <v>3.9994020800022576</v>
      </c>
      <c r="D464" s="474">
        <f t="shared" si="81"/>
        <v>4.805672275307483E-3</v>
      </c>
    </row>
    <row r="465" spans="1:4" x14ac:dyDescent="0.25">
      <c r="A465" s="474">
        <v>0.10270112945658544</v>
      </c>
      <c r="B465" s="474">
        <v>2.1363567254827076E-2</v>
      </c>
      <c r="C465" s="474">
        <f t="shared" si="82"/>
        <v>4.0433515534088755</v>
      </c>
      <c r="D465" s="474">
        <f t="shared" si="81"/>
        <v>4.8027209613675801E-3</v>
      </c>
    </row>
    <row r="466" spans="1:4" x14ac:dyDescent="0.25">
      <c r="A466" s="474">
        <v>0.10381744608111354</v>
      </c>
      <c r="B466" s="474">
        <v>2.1350280696441053E-2</v>
      </c>
      <c r="C466" s="474">
        <f t="shared" si="82"/>
        <v>4.0873010268154939</v>
      </c>
      <c r="D466" s="474">
        <f t="shared" si="81"/>
        <v>4.7997340242281108E-3</v>
      </c>
    </row>
    <row r="467" spans="1:4" x14ac:dyDescent="0.25">
      <c r="A467" s="474">
        <v>0.10493376270564164</v>
      </c>
      <c r="B467" s="474">
        <v>2.1336835137323699E-2</v>
      </c>
      <c r="C467" s="474">
        <f t="shared" si="82"/>
        <v>4.1312505002221123</v>
      </c>
      <c r="D467" s="474">
        <f t="shared" si="81"/>
        <v>4.7967113423023839E-3</v>
      </c>
    </row>
    <row r="468" spans="1:4" x14ac:dyDescent="0.25">
      <c r="A468" s="474">
        <v>0.10605007933016974</v>
      </c>
      <c r="B468" s="474">
        <v>2.1323230027649569E-2</v>
      </c>
      <c r="C468" s="474">
        <f t="shared" si="82"/>
        <v>4.1751999736287297</v>
      </c>
      <c r="D468" s="474">
        <f t="shared" si="81"/>
        <v>4.7936527919847215E-3</v>
      </c>
    </row>
    <row r="469" spans="1:4" x14ac:dyDescent="0.25">
      <c r="A469" s="474">
        <v>0.10716639595469785</v>
      </c>
      <c r="B469" s="474">
        <v>2.13094648084853E-2</v>
      </c>
      <c r="C469" s="474">
        <f t="shared" si="82"/>
        <v>4.2191494470353481</v>
      </c>
      <c r="D469" s="474">
        <f t="shared" si="81"/>
        <v>4.7905582476219059E-3</v>
      </c>
    </row>
    <row r="470" spans="1:4" x14ac:dyDescent="0.25">
      <c r="A470" s="474">
        <v>0.10828271257922596</v>
      </c>
      <c r="B470" s="474">
        <v>2.1295538911659632E-2</v>
      </c>
      <c r="C470" s="474">
        <f t="shared" si="82"/>
        <v>4.2630989204419674</v>
      </c>
      <c r="D470" s="474">
        <f t="shared" si="81"/>
        <v>4.7874275814839577E-3</v>
      </c>
    </row>
    <row r="471" spans="1:4" x14ac:dyDescent="0.25">
      <c r="A471" s="474">
        <v>0.10939902920375406</v>
      </c>
      <c r="B471" s="474">
        <v>2.1281451759630282E-2</v>
      </c>
      <c r="C471" s="474">
        <f t="shared" si="82"/>
        <v>4.3070483938485848</v>
      </c>
      <c r="D471" s="474">
        <f t="shared" si="81"/>
        <v>4.784260663734205E-3</v>
      </c>
    </row>
    <row r="472" spans="1:4" x14ac:dyDescent="0.25">
      <c r="A472" s="474">
        <v>0.11051534582828217</v>
      </c>
      <c r="B472" s="474">
        <v>2.1267202765347649E-2</v>
      </c>
      <c r="C472" s="474">
        <f t="shared" si="82"/>
        <v>4.3509978672552032</v>
      </c>
      <c r="D472" s="474">
        <f t="shared" si="81"/>
        <v>4.7810573623986502E-3</v>
      </c>
    </row>
    <row r="473" spans="1:4" x14ac:dyDescent="0.25">
      <c r="A473" s="474">
        <v>0.11163166245281027</v>
      </c>
      <c r="B473" s="474">
        <v>2.1252791332115266E-2</v>
      </c>
      <c r="C473" s="474">
        <f t="shared" si="82"/>
        <v>4.3949473406618216</v>
      </c>
      <c r="D473" s="474">
        <f t="shared" si="81"/>
        <v>4.7778175433345902E-3</v>
      </c>
    </row>
    <row r="474" spans="1:4" x14ac:dyDescent="0.25">
      <c r="A474" s="474">
        <v>0.11274797907733837</v>
      </c>
      <c r="B474" s="474">
        <v>2.1238216853446894E-2</v>
      </c>
      <c r="C474" s="474">
        <f t="shared" si="82"/>
        <v>4.4388968140684399</v>
      </c>
      <c r="D474" s="474">
        <f t="shared" si="81"/>
        <v>4.7745410701984957E-3</v>
      </c>
    </row>
    <row r="475" spans="1:4" x14ac:dyDescent="0.25">
      <c r="A475" s="474">
        <v>0.11386429570186647</v>
      </c>
      <c r="B475" s="474">
        <v>2.1223478712920171E-2</v>
      </c>
      <c r="C475" s="474">
        <f t="shared" si="82"/>
        <v>4.4828462874750583</v>
      </c>
      <c r="D475" s="474">
        <f t="shared" si="81"/>
        <v>4.7712278044131067E-3</v>
      </c>
    </row>
    <row r="476" spans="1:4" x14ac:dyDescent="0.25">
      <c r="A476" s="474">
        <v>0.11498061232639457</v>
      </c>
      <c r="B476" s="474">
        <v>2.1208576284026739E-2</v>
      </c>
      <c r="C476" s="474">
        <f t="shared" si="82"/>
        <v>4.5267957608816758</v>
      </c>
      <c r="D476" s="474">
        <f t="shared" si="81"/>
        <v>4.767877605133742E-3</v>
      </c>
    </row>
    <row r="477" spans="1:4" x14ac:dyDescent="0.25">
      <c r="A477" s="474">
        <v>0.11609692895092268</v>
      </c>
      <c r="B477" s="474">
        <v>2.1193508930018756E-2</v>
      </c>
      <c r="C477" s="474">
        <f t="shared" si="82"/>
        <v>4.5707452342882942</v>
      </c>
      <c r="D477" s="474">
        <f t="shared" si="81"/>
        <v>4.7644903292137931E-3</v>
      </c>
    </row>
    <row r="478" spans="1:4" x14ac:dyDescent="0.25">
      <c r="A478" s="474">
        <v>0.11721324557545078</v>
      </c>
      <c r="B478" s="474">
        <v>2.1178276003751672E-2</v>
      </c>
      <c r="C478" s="474">
        <f t="shared" si="82"/>
        <v>4.6146947076949125</v>
      </c>
      <c r="D478" s="474">
        <f t="shared" si="81"/>
        <v>4.7610658311693782E-3</v>
      </c>
    </row>
    <row r="479" spans="1:4" x14ac:dyDescent="0.25">
      <c r="A479" s="474">
        <v>0.11832956219997888</v>
      </c>
      <c r="B479" s="474">
        <v>2.1162876847523188E-2</v>
      </c>
      <c r="C479" s="474">
        <f t="shared" si="82"/>
        <v>4.6586441811015309</v>
      </c>
      <c r="D479" s="474">
        <f t="shared" si="81"/>
        <v>4.7576039631431382E-3</v>
      </c>
    </row>
    <row r="480" spans="1:4" x14ac:dyDescent="0.25">
      <c r="A480" s="474">
        <v>0.11944587882450698</v>
      </c>
      <c r="B480" s="474">
        <v>2.1147310792908262E-2</v>
      </c>
      <c r="C480" s="474">
        <f t="shared" si="82"/>
        <v>4.7025936545081484</v>
      </c>
      <c r="D480" s="474">
        <f t="shared" si="81"/>
        <v>4.7541045748671464E-3</v>
      </c>
    </row>
    <row r="481" spans="1:4" x14ac:dyDescent="0.25">
      <c r="A481" s="474">
        <v>0.12056219544903508</v>
      </c>
      <c r="B481" s="474">
        <v>2.1131577160590172E-2</v>
      </c>
      <c r="C481" s="474">
        <f t="shared" si="82"/>
        <v>4.7465431279147667</v>
      </c>
      <c r="D481" s="474">
        <f t="shared" si="81"/>
        <v>4.7505675136249297E-3</v>
      </c>
    </row>
    <row r="482" spans="1:4" x14ac:dyDescent="0.25">
      <c r="A482" s="474">
        <v>0.12167851207356319</v>
      </c>
      <c r="B482" s="474">
        <v>2.1115675260187278E-2</v>
      </c>
      <c r="C482" s="474">
        <f t="shared" si="82"/>
        <v>4.7904926013213851</v>
      </c>
      <c r="D482" s="474">
        <f t="shared" si="81"/>
        <v>4.7469926242125213E-3</v>
      </c>
    </row>
    <row r="483" spans="1:4" x14ac:dyDescent="0.25">
      <c r="A483" s="474">
        <v>0.12279482869809129</v>
      </c>
      <c r="B483" s="474">
        <v>2.1099604390075674E-2</v>
      </c>
      <c r="C483" s="474">
        <f t="shared" si="82"/>
        <v>4.8344420747280035</v>
      </c>
      <c r="D483" s="474">
        <f t="shared" si="81"/>
        <v>4.7433797488985923E-3</v>
      </c>
    </row>
    <row r="484" spans="1:4" x14ac:dyDescent="0.25">
      <c r="A484" s="474">
        <v>0.12391114532261939</v>
      </c>
      <c r="B484" s="474">
        <v>2.1083363837207367E-2</v>
      </c>
      <c r="C484" s="474">
        <f t="shared" si="82"/>
        <v>4.8783915481346218</v>
      </c>
      <c r="D484" s="474">
        <f t="shared" si="81"/>
        <v>4.7397287273835791E-3</v>
      </c>
    </row>
    <row r="485" spans="1:4" x14ac:dyDescent="0.25">
      <c r="A485" s="474">
        <v>0.12502746194714751</v>
      </c>
      <c r="B485" s="474">
        <v>2.1066952876923971E-2</v>
      </c>
      <c r="C485" s="474">
        <f t="shared" si="82"/>
        <v>4.9223410215412402</v>
      </c>
      <c r="D485" s="474">
        <f t="shared" si="81"/>
        <v>4.7360393967577942E-3</v>
      </c>
    </row>
    <row r="486" spans="1:4" x14ac:dyDescent="0.25">
      <c r="A486" s="474">
        <v>0.12614377857167561</v>
      </c>
      <c r="B486" s="474">
        <v>2.1050370772765805E-2</v>
      </c>
      <c r="C486" s="474">
        <f t="shared" si="82"/>
        <v>4.9662904949478586</v>
      </c>
      <c r="D486" s="474">
        <f t="shared" si="81"/>
        <v>4.7323115914585179E-3</v>
      </c>
    </row>
    <row r="487" spans="1:4" x14ac:dyDescent="0.25">
      <c r="A487" s="474">
        <v>0.12726009519620371</v>
      </c>
      <c r="B487" s="474">
        <v>2.1033616776276159E-2</v>
      </c>
      <c r="C487" s="474">
        <f t="shared" si="82"/>
        <v>5.0102399683544769</v>
      </c>
      <c r="D487" s="474">
        <f t="shared" si="81"/>
        <v>4.7285451432259864E-3</v>
      </c>
    </row>
    <row r="488" spans="1:4" x14ac:dyDescent="0.25">
      <c r="A488" s="474">
        <v>0.12837641182073181</v>
      </c>
      <c r="B488" s="474">
        <v>2.1016690126800699E-2</v>
      </c>
      <c r="C488" s="474">
        <f t="shared" si="82"/>
        <v>5.0541894417610944</v>
      </c>
      <c r="D488" s="474">
        <f t="shared" si="81"/>
        <v>4.7247398810583048E-3</v>
      </c>
    </row>
    <row r="489" spans="1:4" x14ac:dyDescent="0.25">
      <c r="A489" s="474">
        <v>0.12949272844525991</v>
      </c>
      <c r="B489" s="474">
        <v>2.0999590051281856E-2</v>
      </c>
      <c r="C489" s="474">
        <f t="shared" si="82"/>
        <v>5.0981389151677128</v>
      </c>
      <c r="D489" s="474">
        <f t="shared" si="81"/>
        <v>4.7208956311652183E-3</v>
      </c>
    </row>
    <row r="490" spans="1:4" x14ac:dyDescent="0.25">
      <c r="A490" s="474">
        <v>0.13060904506978802</v>
      </c>
      <c r="B490" s="474">
        <v>2.0982315764047944E-2</v>
      </c>
      <c r="C490" s="474">
        <f t="shared" si="82"/>
        <v>5.1420883885743311</v>
      </c>
      <c r="D490" s="474">
        <f t="shared" si="81"/>
        <v>4.7170122169207058E-3</v>
      </c>
    </row>
    <row r="491" spans="1:4" x14ac:dyDescent="0.25">
      <c r="A491" s="474">
        <v>0.13172536169431612</v>
      </c>
      <c r="B491" s="474">
        <v>2.0964866466596996E-2</v>
      </c>
      <c r="C491" s="474">
        <f t="shared" si="82"/>
        <v>5.1860378619809495</v>
      </c>
      <c r="D491" s="474">
        <f t="shared" si="81"/>
        <v>4.7130894588143851E-3</v>
      </c>
    </row>
    <row r="492" spans="1:4" x14ac:dyDescent="0.25">
      <c r="A492" s="474">
        <v>0.13284167831884422</v>
      </c>
      <c r="B492" s="474">
        <v>2.0947241347375106E-2</v>
      </c>
      <c r="C492" s="474">
        <f t="shared" si="82"/>
        <v>5.2299873353875679</v>
      </c>
      <c r="D492" s="474">
        <f t="shared" si="81"/>
        <v>4.7091271744016802E-3</v>
      </c>
    </row>
    <row r="493" spans="1:4" x14ac:dyDescent="0.25">
      <c r="A493" s="474">
        <v>0.13395799494337232</v>
      </c>
      <c r="B493" s="474">
        <v>2.0929439581549057E-2</v>
      </c>
      <c r="C493" s="474">
        <f t="shared" si="82"/>
        <v>5.2739368087941862</v>
      </c>
      <c r="D493" s="474">
        <f t="shared" si="81"/>
        <v>4.7051251782527078E-3</v>
      </c>
    </row>
    <row r="494" spans="1:4" x14ac:dyDescent="0.25">
      <c r="A494" s="474">
        <v>0.13507431156790042</v>
      </c>
      <c r="B494" s="474">
        <v>2.0911460330773145E-2</v>
      </c>
      <c r="C494" s="474">
        <f t="shared" si="82"/>
        <v>5.3178862822008037</v>
      </c>
      <c r="D494" s="474">
        <f t="shared" si="81"/>
        <v>4.7010832818998576E-3</v>
      </c>
    </row>
    <row r="495" spans="1:4" x14ac:dyDescent="0.25">
      <c r="A495" s="474">
        <v>0.13619062819242853</v>
      </c>
      <c r="B495" s="474">
        <v>2.089330274295001E-2</v>
      </c>
      <c r="C495" s="474">
        <f t="shared" si="82"/>
        <v>5.3618357556074221</v>
      </c>
      <c r="D495" s="474">
        <f t="shared" si="81"/>
        <v>4.6970012937840233E-3</v>
      </c>
    </row>
    <row r="496" spans="1:4" x14ac:dyDescent="0.25">
      <c r="A496" s="474">
        <v>0.13730694481695663</v>
      </c>
      <c r="B496" s="474">
        <v>2.0874965951985243E-2</v>
      </c>
      <c r="C496" s="474">
        <f t="shared" si="82"/>
        <v>5.4057852290140405</v>
      </c>
      <c r="D496" s="474">
        <f t="shared" si="81"/>
        <v>4.6928790191994351E-3</v>
      </c>
    </row>
    <row r="497" spans="1:4" x14ac:dyDescent="0.25">
      <c r="A497" s="474">
        <v>0.13842326144148473</v>
      </c>
      <c r="B497" s="474">
        <v>2.085644907753564E-2</v>
      </c>
      <c r="C497" s="474">
        <f t="shared" si="82"/>
        <v>5.4497347024206588</v>
      </c>
      <c r="D497" s="474">
        <f t="shared" si="81"/>
        <v>4.6887162602370705E-3</v>
      </c>
    </row>
    <row r="498" spans="1:4" x14ac:dyDescent="0.25">
      <c r="A498" s="474">
        <v>0.13953957806601283</v>
      </c>
      <c r="B498" s="474">
        <v>2.0837751224750872E-2</v>
      </c>
      <c r="C498" s="474">
        <f t="shared" si="82"/>
        <v>5.4936841758272763</v>
      </c>
      <c r="D498" s="474">
        <f t="shared" si="81"/>
        <v>4.6845128157265714E-3</v>
      </c>
    </row>
    <row r="499" spans="1:4" x14ac:dyDescent="0.25">
      <c r="A499" s="474">
        <v>0.14065589469054093</v>
      </c>
      <c r="B499" s="474">
        <v>2.0818871484008364E-2</v>
      </c>
      <c r="C499" s="474">
        <f t="shared" si="82"/>
        <v>5.5376336492338947</v>
      </c>
      <c r="D499" s="474">
        <f t="shared" si="81"/>
        <v>4.6802684811766502E-3</v>
      </c>
    </row>
    <row r="500" spans="1:4" x14ac:dyDescent="0.25">
      <c r="A500" s="474">
        <v>0.14177221131506904</v>
      </c>
      <c r="B500" s="474">
        <v>2.0799808930641227E-2</v>
      </c>
      <c r="C500" s="474">
        <f t="shared" si="82"/>
        <v>5.581583122640513</v>
      </c>
      <c r="D500" s="474">
        <f t="shared" si="81"/>
        <v>4.6759830487139208E-3</v>
      </c>
    </row>
    <row r="501" spans="1:4" x14ac:dyDescent="0.25">
      <c r="A501" s="474">
        <v>0.14288852793959714</v>
      </c>
      <c r="B501" s="474">
        <v>2.0780562624658945E-2</v>
      </c>
      <c r="C501" s="474">
        <f t="shared" si="82"/>
        <v>5.6255325960471314</v>
      </c>
      <c r="D501" s="474">
        <f t="shared" ref="D501:D564" si="83">B501*$AB$8</f>
        <v>4.6716563070201096E-3</v>
      </c>
    </row>
    <row r="502" spans="1:4" x14ac:dyDescent="0.25">
      <c r="A502" s="474">
        <v>0.14400484456412524</v>
      </c>
      <c r="B502" s="474">
        <v>2.0761131610460642E-2</v>
      </c>
      <c r="C502" s="474">
        <f t="shared" ref="C502:C565" si="84">A502*100/$Z$2</f>
        <v>5.6694820694537498</v>
      </c>
      <c r="D502" s="474">
        <f t="shared" si="83"/>
        <v>4.6672880412675947E-3</v>
      </c>
    </row>
    <row r="503" spans="1:4" x14ac:dyDescent="0.25">
      <c r="A503" s="474">
        <v>0.14512116118865334</v>
      </c>
      <c r="B503" s="474">
        <v>2.07415149165407E-2</v>
      </c>
      <c r="C503" s="474">
        <f t="shared" si="84"/>
        <v>5.7134315428603681</v>
      </c>
      <c r="D503" s="474">
        <f t="shared" si="83"/>
        <v>4.6628780330532247E-3</v>
      </c>
    </row>
    <row r="504" spans="1:4" x14ac:dyDescent="0.25">
      <c r="A504" s="474">
        <v>0.14623747781318144</v>
      </c>
      <c r="B504" s="474">
        <v>2.0721711555186442E-2</v>
      </c>
      <c r="C504" s="474">
        <f t="shared" si="84"/>
        <v>5.7573810162669856</v>
      </c>
      <c r="D504" s="474">
        <f t="shared" si="83"/>
        <v>4.6584260603303573E-3</v>
      </c>
    </row>
    <row r="505" spans="1:4" x14ac:dyDescent="0.25">
      <c r="A505" s="474">
        <v>0.14735379443770955</v>
      </c>
      <c r="B505" s="474">
        <v>2.070172052216766E-2</v>
      </c>
      <c r="C505" s="474">
        <f t="shared" si="84"/>
        <v>5.801330489673604</v>
      </c>
      <c r="D505" s="474">
        <f t="shared" si="83"/>
        <v>4.6539318973390616E-3</v>
      </c>
    </row>
    <row r="506" spans="1:4" x14ac:dyDescent="0.25">
      <c r="A506" s="474">
        <v>0.14847011106223765</v>
      </c>
      <c r="B506" s="474">
        <v>2.0681540796417729E-2</v>
      </c>
      <c r="C506" s="474">
        <f t="shared" si="84"/>
        <v>5.8452799630802224</v>
      </c>
      <c r="D506" s="474">
        <f t="shared" si="83"/>
        <v>4.6493953145344295E-3</v>
      </c>
    </row>
    <row r="507" spans="1:4" x14ac:dyDescent="0.25">
      <c r="A507" s="474">
        <v>0.14958642768676575</v>
      </c>
      <c r="B507" s="474">
        <v>2.0661171339706009E-2</v>
      </c>
      <c r="C507" s="474">
        <f t="shared" si="84"/>
        <v>5.8892294364868398</v>
      </c>
      <c r="D507" s="474">
        <f t="shared" si="83"/>
        <v>4.6448160785129292E-3</v>
      </c>
    </row>
    <row r="508" spans="1:4" x14ac:dyDescent="0.25">
      <c r="A508" s="474">
        <v>0.15070274431129385</v>
      </c>
      <c r="B508" s="474">
        <v>2.0640611096301248E-2</v>
      </c>
      <c r="C508" s="474">
        <f t="shared" si="84"/>
        <v>5.9331789098934591</v>
      </c>
      <c r="D508" s="474">
        <f t="shared" si="83"/>
        <v>4.6401939519367342E-3</v>
      </c>
    </row>
    <row r="509" spans="1:4" x14ac:dyDescent="0.25">
      <c r="A509" s="474">
        <v>0.15181906093582195</v>
      </c>
      <c r="B509" s="474">
        <v>2.0619858992625743E-2</v>
      </c>
      <c r="C509" s="474">
        <f t="shared" si="84"/>
        <v>5.9771283833000775</v>
      </c>
      <c r="D509" s="474">
        <f t="shared" si="83"/>
        <v>4.6355286934559765E-3</v>
      </c>
    </row>
    <row r="510" spans="1:4" x14ac:dyDescent="0.25">
      <c r="A510" s="474">
        <v>0.15293537756035006</v>
      </c>
      <c r="B510" s="474">
        <v>2.0598913936899881E-2</v>
      </c>
      <c r="C510" s="474">
        <f t="shared" si="84"/>
        <v>6.0210778567066949</v>
      </c>
      <c r="D510" s="474">
        <f t="shared" si="83"/>
        <v>4.6308200576288356E-3</v>
      </c>
    </row>
    <row r="511" spans="1:4" x14ac:dyDescent="0.25">
      <c r="A511" s="474">
        <v>0.15405169418487816</v>
      </c>
      <c r="B511" s="474">
        <v>2.0577774818776776E-2</v>
      </c>
      <c r="C511" s="474">
        <f t="shared" si="84"/>
        <v>6.0650273301133133</v>
      </c>
      <c r="D511" s="474">
        <f t="shared" si="83"/>
        <v>4.6260677948394028E-3</v>
      </c>
    </row>
    <row r="512" spans="1:4" x14ac:dyDescent="0.25">
      <c r="A512" s="474">
        <v>0.15516801080940626</v>
      </c>
      <c r="B512" s="474">
        <v>2.055644050896669E-2</v>
      </c>
      <c r="C512" s="474">
        <f t="shared" si="84"/>
        <v>6.1089768035199317</v>
      </c>
      <c r="D512" s="474">
        <f t="shared" si="83"/>
        <v>4.6212716512132462E-3</v>
      </c>
    </row>
    <row r="513" spans="1:4" x14ac:dyDescent="0.25">
      <c r="A513" s="474">
        <v>0.15628432743393436</v>
      </c>
      <c r="B513" s="474">
        <v>2.0534909858850883E-2</v>
      </c>
      <c r="C513" s="474">
        <f t="shared" si="84"/>
        <v>6.1529262769265491</v>
      </c>
      <c r="D513" s="474">
        <f t="shared" si="83"/>
        <v>4.6164313685306017E-3</v>
      </c>
    </row>
    <row r="514" spans="1:4" x14ac:dyDescent="0.25">
      <c r="A514" s="474">
        <v>0.15740064405846246</v>
      </c>
      <c r="B514" s="474">
        <v>2.0513181700084433E-2</v>
      </c>
      <c r="C514" s="474">
        <f t="shared" si="84"/>
        <v>6.1968757503331675</v>
      </c>
      <c r="D514" s="474">
        <f t="shared" si="83"/>
        <v>4.6115466841370823E-3</v>
      </c>
    </row>
    <row r="515" spans="1:4" x14ac:dyDescent="0.25">
      <c r="A515" s="474">
        <v>0.15851696068299057</v>
      </c>
      <c r="B515" s="474">
        <v>2.0491254844187866E-2</v>
      </c>
      <c r="C515" s="474">
        <f t="shared" si="84"/>
        <v>6.2408252237397859</v>
      </c>
      <c r="D515" s="474">
        <f t="shared" si="83"/>
        <v>4.6066173308518749E-3</v>
      </c>
    </row>
    <row r="516" spans="1:4" x14ac:dyDescent="0.25">
      <c r="A516" s="474">
        <v>0.15963327730751867</v>
      </c>
      <c r="B516" s="474">
        <v>2.0469128082126978E-2</v>
      </c>
      <c r="C516" s="474">
        <f t="shared" si="84"/>
        <v>6.2847746971464042</v>
      </c>
      <c r="D516" s="474">
        <f t="shared" si="83"/>
        <v>4.6016430368732795E-3</v>
      </c>
    </row>
    <row r="517" spans="1:4" x14ac:dyDescent="0.25">
      <c r="A517" s="474">
        <v>0.16074959393204677</v>
      </c>
      <c r="B517" s="474">
        <v>2.0446800183880603E-2</v>
      </c>
      <c r="C517" s="474">
        <f t="shared" si="84"/>
        <v>6.3287241705530217</v>
      </c>
      <c r="D517" s="474">
        <f t="shared" si="83"/>
        <v>4.5966235256815367E-3</v>
      </c>
    </row>
    <row r="518" spans="1:4" x14ac:dyDescent="0.25">
      <c r="A518" s="474">
        <v>0.16186591055657487</v>
      </c>
      <c r="B518" s="474">
        <v>2.0424269897995815E-2</v>
      </c>
      <c r="C518" s="474">
        <f t="shared" si="84"/>
        <v>6.372673643959641</v>
      </c>
      <c r="D518" s="474">
        <f t="shared" si="83"/>
        <v>4.5915585159388385E-3</v>
      </c>
    </row>
    <row r="519" spans="1:4" x14ac:dyDescent="0.25">
      <c r="A519" s="474">
        <v>0.16298222718110297</v>
      </c>
      <c r="B519" s="474">
        <v>2.0401535951130183E-2</v>
      </c>
      <c r="C519" s="474">
        <f t="shared" si="84"/>
        <v>6.4166231173662585</v>
      </c>
      <c r="D519" s="474">
        <f t="shared" si="83"/>
        <v>4.5864477213864207E-3</v>
      </c>
    </row>
    <row r="520" spans="1:4" x14ac:dyDescent="0.25">
      <c r="A520" s="474">
        <v>0.16409854380563108</v>
      </c>
      <c r="B520" s="474">
        <v>2.037859704758057E-2</v>
      </c>
      <c r="C520" s="474">
        <f t="shared" si="84"/>
        <v>6.4605725907728768</v>
      </c>
      <c r="D520" s="474">
        <f t="shared" si="83"/>
        <v>4.5812908507386306E-3</v>
      </c>
    </row>
    <row r="521" spans="1:4" x14ac:dyDescent="0.25">
      <c r="A521" s="474">
        <v>0.16521486043015918</v>
      </c>
      <c r="B521" s="474">
        <v>2.0355451868798023E-2</v>
      </c>
      <c r="C521" s="474">
        <f t="shared" si="84"/>
        <v>6.5045220641794961</v>
      </c>
      <c r="D521" s="474">
        <f t="shared" si="83"/>
        <v>4.5760876075738718E-3</v>
      </c>
    </row>
    <row r="522" spans="1:4" x14ac:dyDescent="0.25">
      <c r="A522" s="474">
        <v>0.16633117705468728</v>
      </c>
      <c r="B522" s="474">
        <v>2.0332099072888278E-2</v>
      </c>
      <c r="C522" s="474">
        <f t="shared" si="84"/>
        <v>6.5484715375861127</v>
      </c>
      <c r="D522" s="474">
        <f t="shared" si="83"/>
        <v>4.5708376902223145E-3</v>
      </c>
    </row>
    <row r="523" spans="1:4" x14ac:dyDescent="0.25">
      <c r="A523" s="474">
        <v>0.16744749367921541</v>
      </c>
      <c r="B523" s="474">
        <v>2.0308537294097307E-2</v>
      </c>
      <c r="C523" s="474">
        <f t="shared" si="84"/>
        <v>6.5924210109927328</v>
      </c>
      <c r="D523" s="474">
        <f t="shared" si="83"/>
        <v>4.5655407916502409E-3</v>
      </c>
    </row>
    <row r="524" spans="1:4" x14ac:dyDescent="0.25">
      <c r="A524" s="474">
        <v>0.16856381030374351</v>
      </c>
      <c r="B524" s="474">
        <v>2.0284765142281412E-2</v>
      </c>
      <c r="C524" s="474">
        <f t="shared" si="84"/>
        <v>6.6363704843993503</v>
      </c>
      <c r="D524" s="474">
        <f t="shared" si="83"/>
        <v>4.5601965993409144E-3</v>
      </c>
    </row>
    <row r="525" spans="1:4" x14ac:dyDescent="0.25">
      <c r="A525" s="474">
        <v>0.16968012692827161</v>
      </c>
      <c r="B525" s="474">
        <v>2.0260781202361272E-2</v>
      </c>
      <c r="C525" s="474">
        <f t="shared" si="84"/>
        <v>6.6803199578059695</v>
      </c>
      <c r="D525" s="474">
        <f t="shared" si="83"/>
        <v>4.5548047951718519E-3</v>
      </c>
    </row>
    <row r="526" spans="1:4" x14ac:dyDescent="0.25">
      <c r="A526" s="474">
        <v>0.17079644355279971</v>
      </c>
      <c r="B526" s="474">
        <v>2.0236584033759351E-2</v>
      </c>
      <c r="C526" s="474">
        <f t="shared" si="84"/>
        <v>6.724269431212587</v>
      </c>
      <c r="D526" s="474">
        <f t="shared" si="83"/>
        <v>4.5493650552883387E-3</v>
      </c>
    </row>
    <row r="527" spans="1:4" x14ac:dyDescent="0.25">
      <c r="A527" s="474">
        <v>0.17191276017732782</v>
      </c>
      <c r="B527" s="474">
        <v>2.021217216982011E-2</v>
      </c>
      <c r="C527" s="474">
        <f t="shared" si="84"/>
        <v>6.7682189046192054</v>
      </c>
      <c r="D527" s="474">
        <f t="shared" si="83"/>
        <v>4.543877049973096E-3</v>
      </c>
    </row>
    <row r="528" spans="1:4" x14ac:dyDescent="0.25">
      <c r="A528" s="474">
        <v>0.17302907680185592</v>
      </c>
      <c r="B528" s="474">
        <v>2.0187544117212249E-2</v>
      </c>
      <c r="C528" s="474">
        <f t="shared" si="84"/>
        <v>6.8121683780258229</v>
      </c>
      <c r="D528" s="474">
        <f t="shared" si="83"/>
        <v>4.5383404435118922E-3</v>
      </c>
    </row>
    <row r="529" spans="1:4" x14ac:dyDescent="0.25">
      <c r="A529" s="474">
        <v>0.17414539342638402</v>
      </c>
      <c r="B529" s="474">
        <v>2.016269835531246E-2</v>
      </c>
      <c r="C529" s="474">
        <f t="shared" si="84"/>
        <v>6.8561178514324421</v>
      </c>
      <c r="D529" s="474">
        <f t="shared" si="83"/>
        <v>4.5327548940550097E-3</v>
      </c>
    </row>
    <row r="530" spans="1:4" x14ac:dyDescent="0.25">
      <c r="A530" s="474">
        <v>0.17526171005091212</v>
      </c>
      <c r="B530" s="474">
        <v>2.0137633335569866E-2</v>
      </c>
      <c r="C530" s="474">
        <f t="shared" si="84"/>
        <v>6.9000673248390596</v>
      </c>
      <c r="D530" s="474">
        <f t="shared" si="83"/>
        <v>4.5271200534743646E-3</v>
      </c>
    </row>
    <row r="531" spans="1:4" x14ac:dyDescent="0.25">
      <c r="A531" s="474">
        <v>0.17637802667544022</v>
      </c>
      <c r="B531" s="474">
        <v>2.0112347480850508E-2</v>
      </c>
      <c r="C531" s="474">
        <f t="shared" si="84"/>
        <v>6.944016798245678</v>
      </c>
      <c r="D531" s="474">
        <f t="shared" si="83"/>
        <v>4.5214355672161376E-3</v>
      </c>
    </row>
    <row r="532" spans="1:4" x14ac:dyDescent="0.25">
      <c r="A532" s="474">
        <v>0.17749434329996833</v>
      </c>
      <c r="B532" s="474">
        <v>2.0086839184760993E-2</v>
      </c>
      <c r="C532" s="474">
        <f t="shared" si="84"/>
        <v>6.9879662716522972</v>
      </c>
      <c r="D532" s="474">
        <f t="shared" si="83"/>
        <v>4.515701074148731E-3</v>
      </c>
    </row>
    <row r="533" spans="1:4" x14ac:dyDescent="0.25">
      <c r="A533" s="474">
        <v>0.17861065992449643</v>
      </c>
      <c r="B533" s="474">
        <v>2.0061106810950614E-2</v>
      </c>
      <c r="C533" s="474">
        <f t="shared" si="84"/>
        <v>7.0319157450589138</v>
      </c>
      <c r="D533" s="474">
        <f t="shared" si="83"/>
        <v>4.5099162064058725E-3</v>
      </c>
    </row>
    <row r="534" spans="1:4" x14ac:dyDescent="0.25">
      <c r="A534" s="474">
        <v>0.17972697654902453</v>
      </c>
      <c r="B534" s="474">
        <v>2.0035148692391074E-2</v>
      </c>
      <c r="C534" s="474">
        <f t="shared" si="84"/>
        <v>7.0758652184655331</v>
      </c>
      <c r="D534" s="474">
        <f t="shared" si="83"/>
        <v>4.5040805892246922E-3</v>
      </c>
    </row>
    <row r="535" spans="1:4" x14ac:dyDescent="0.25">
      <c r="A535" s="474">
        <v>0.18084329317355263</v>
      </c>
      <c r="B535" s="474">
        <v>2.0008963130632842E-2</v>
      </c>
      <c r="C535" s="474">
        <f t="shared" si="84"/>
        <v>7.1198146918721505</v>
      </c>
      <c r="D535" s="474">
        <f t="shared" si="83"/>
        <v>4.4981938407785476E-3</v>
      </c>
    </row>
    <row r="536" spans="1:4" x14ac:dyDescent="0.25">
      <c r="A536" s="474">
        <v>0.18195960979808073</v>
      </c>
      <c r="B536" s="474">
        <v>1.9982548395037353E-2</v>
      </c>
      <c r="C536" s="474">
        <f t="shared" si="84"/>
        <v>7.1637641652787689</v>
      </c>
      <c r="D536" s="474">
        <f t="shared" si="83"/>
        <v>4.4922555720044149E-3</v>
      </c>
    </row>
    <row r="537" spans="1:4" x14ac:dyDescent="0.25">
      <c r="A537" s="474">
        <v>0.18307592642260884</v>
      </c>
      <c r="B537" s="474">
        <v>1.9955902721983998E-2</v>
      </c>
      <c r="C537" s="474">
        <f t="shared" si="84"/>
        <v>7.2077136386853864</v>
      </c>
      <c r="D537" s="474">
        <f t="shared" si="83"/>
        <v>4.4862653864246082E-3</v>
      </c>
    </row>
    <row r="538" spans="1:4" x14ac:dyDescent="0.25">
      <c r="A538" s="474">
        <v>0.18419224304713694</v>
      </c>
      <c r="B538" s="474">
        <v>1.9929024314050917E-2</v>
      </c>
      <c r="C538" s="474">
        <f t="shared" si="84"/>
        <v>7.2516631120920056</v>
      </c>
      <c r="D538" s="474">
        <f t="shared" si="83"/>
        <v>4.48022287996262E-3</v>
      </c>
    </row>
    <row r="539" spans="1:4" x14ac:dyDescent="0.25">
      <c r="A539" s="474">
        <v>0.18530855967166504</v>
      </c>
      <c r="B539" s="474">
        <v>1.9901911339168535E-2</v>
      </c>
      <c r="C539" s="474">
        <f t="shared" si="84"/>
        <v>7.2956125854986231</v>
      </c>
      <c r="D539" s="474">
        <f t="shared" si="83"/>
        <v>4.474127640752828E-3</v>
      </c>
    </row>
    <row r="540" spans="1:4" x14ac:dyDescent="0.25">
      <c r="A540" s="474">
        <v>0.18642487629619314</v>
      </c>
      <c r="B540" s="474">
        <v>1.9874561929744721E-2</v>
      </c>
      <c r="C540" s="474">
        <f t="shared" si="84"/>
        <v>7.3395620589052415</v>
      </c>
      <c r="D540" s="474">
        <f t="shared" si="83"/>
        <v>4.4679792489438199E-3</v>
      </c>
    </row>
    <row r="541" spans="1:4" x14ac:dyDescent="0.25">
      <c r="A541" s="474">
        <v>0.18754119292072124</v>
      </c>
      <c r="B541" s="474">
        <v>1.9846974181760443E-2</v>
      </c>
      <c r="C541" s="474">
        <f t="shared" si="84"/>
        <v>7.3835115323118607</v>
      </c>
      <c r="D541" s="474">
        <f t="shared" si="83"/>
        <v>4.4617772764950908E-3</v>
      </c>
    </row>
    <row r="542" spans="1:4" x14ac:dyDescent="0.25">
      <c r="A542" s="474">
        <v>0.18865750954524935</v>
      </c>
      <c r="B542" s="474">
        <v>1.9819146153834618E-2</v>
      </c>
      <c r="C542" s="474">
        <f t="shared" si="84"/>
        <v>7.4274610057184782</v>
      </c>
      <c r="D542" s="474">
        <f t="shared" si="83"/>
        <v>4.4555212869668119E-3</v>
      </c>
    </row>
    <row r="543" spans="1:4" x14ac:dyDescent="0.25">
      <c r="A543" s="474">
        <v>0.18977382616977745</v>
      </c>
      <c r="B543" s="474">
        <v>1.9791075866256936E-2</v>
      </c>
      <c r="C543" s="474">
        <f t="shared" si="84"/>
        <v>7.4714104791250966</v>
      </c>
      <c r="D543" s="474">
        <f t="shared" si="83"/>
        <v>4.4492108353024022E-3</v>
      </c>
    </row>
    <row r="544" spans="1:4" x14ac:dyDescent="0.25">
      <c r="A544" s="474">
        <v>0.19089014279430555</v>
      </c>
      <c r="B544" s="474">
        <v>1.9762761299987316E-2</v>
      </c>
      <c r="C544" s="474">
        <f t="shared" si="84"/>
        <v>7.5153599525317141</v>
      </c>
      <c r="D544" s="474">
        <f t="shared" si="83"/>
        <v>4.4428454676035964E-3</v>
      </c>
    </row>
    <row r="545" spans="1:4" x14ac:dyDescent="0.25">
      <c r="A545" s="474">
        <v>0.19200645941883365</v>
      </c>
      <c r="B545" s="474">
        <v>1.9734200395620523E-2</v>
      </c>
      <c r="C545" s="474">
        <f t="shared" si="84"/>
        <v>7.5593094259383324</v>
      </c>
      <c r="D545" s="474">
        <f t="shared" si="83"/>
        <v>4.4364247208976823E-3</v>
      </c>
    </row>
    <row r="546" spans="1:4" x14ac:dyDescent="0.25">
      <c r="A546" s="474">
        <v>0.19312277604336175</v>
      </c>
      <c r="B546" s="474">
        <v>1.9705391052314485E-2</v>
      </c>
      <c r="C546" s="474">
        <f t="shared" si="84"/>
        <v>7.6032588993449499</v>
      </c>
      <c r="D546" s="474">
        <f t="shared" si="83"/>
        <v>4.4299481228965744E-3</v>
      </c>
    </row>
    <row r="547" spans="1:4" x14ac:dyDescent="0.25">
      <c r="A547" s="474">
        <v>0.19423909266788986</v>
      </c>
      <c r="B547" s="474">
        <v>1.9676331126680796E-2</v>
      </c>
      <c r="C547" s="474">
        <f t="shared" si="84"/>
        <v>7.6472083727515692</v>
      </c>
      <c r="D547" s="474">
        <f t="shared" si="83"/>
        <v>4.4234151917473923E-3</v>
      </c>
    </row>
    <row r="548" spans="1:4" x14ac:dyDescent="0.25">
      <c r="A548" s="474">
        <v>0.19535540929241796</v>
      </c>
      <c r="B548" s="474">
        <v>1.9647018431635677E-2</v>
      </c>
      <c r="C548" s="474">
        <f t="shared" si="84"/>
        <v>7.6911578461581875</v>
      </c>
      <c r="D548" s="474">
        <f t="shared" si="83"/>
        <v>4.4168254357741452E-3</v>
      </c>
    </row>
    <row r="549" spans="1:4" x14ac:dyDescent="0.25">
      <c r="A549" s="474">
        <v>0.19647172591694606</v>
      </c>
      <c r="B549" s="474">
        <v>1.9617450735209686E-2</v>
      </c>
      <c r="C549" s="474">
        <f t="shared" si="84"/>
        <v>7.735107319564805</v>
      </c>
      <c r="D549" s="474">
        <f t="shared" si="83"/>
        <v>4.4101783532101424E-3</v>
      </c>
    </row>
    <row r="550" spans="1:4" x14ac:dyDescent="0.25">
      <c r="A550" s="474">
        <v>0.19758804254147416</v>
      </c>
      <c r="B550" s="474">
        <v>1.9587625759314442E-2</v>
      </c>
      <c r="C550" s="474">
        <f t="shared" si="84"/>
        <v>7.7790567929714243</v>
      </c>
      <c r="D550" s="474">
        <f t="shared" si="83"/>
        <v>4.4034734319207446E-3</v>
      </c>
    </row>
    <row r="551" spans="1:4" x14ac:dyDescent="0.25">
      <c r="A551" s="474">
        <v>0.19870435916600226</v>
      </c>
      <c r="B551" s="474">
        <v>1.9557541178464311E-2</v>
      </c>
      <c r="C551" s="474">
        <f t="shared" si="84"/>
        <v>7.8230062663780418</v>
      </c>
      <c r="D551" s="474">
        <f t="shared" si="83"/>
        <v>4.3967101491159859E-3</v>
      </c>
    </row>
    <row r="552" spans="1:4" x14ac:dyDescent="0.25">
      <c r="A552" s="474">
        <v>0.19982067579053037</v>
      </c>
      <c r="B552" s="474">
        <v>1.9527194618451142E-2</v>
      </c>
      <c r="C552" s="474">
        <f t="shared" si="84"/>
        <v>7.8669557397846601</v>
      </c>
      <c r="D552" s="474">
        <f t="shared" si="83"/>
        <v>4.3898879710526422E-3</v>
      </c>
    </row>
    <row r="553" spans="1:4" x14ac:dyDescent="0.25">
      <c r="A553" s="474">
        <v>0.20093699241505847</v>
      </c>
      <c r="B553" s="474">
        <v>1.9496583654969896E-2</v>
      </c>
      <c r="C553" s="474">
        <f t="shared" si="84"/>
        <v>7.9109052131912776</v>
      </c>
      <c r="D553" s="474">
        <f t="shared" si="83"/>
        <v>4.3830063527252622E-3</v>
      </c>
    </row>
    <row r="554" spans="1:4" x14ac:dyDescent="0.25">
      <c r="A554" s="474">
        <v>0.20205330903958657</v>
      </c>
      <c r="B554" s="474">
        <v>1.9465705812192875E-2</v>
      </c>
      <c r="C554" s="474">
        <f t="shared" si="84"/>
        <v>7.9548546865978969</v>
      </c>
      <c r="D554" s="474">
        <f t="shared" si="83"/>
        <v>4.376064737545639E-3</v>
      </c>
    </row>
    <row r="555" spans="1:4" x14ac:dyDescent="0.25">
      <c r="A555" s="474">
        <v>0.20316962566411467</v>
      </c>
      <c r="B555" s="474">
        <v>1.9434558561290297E-2</v>
      </c>
      <c r="C555" s="474">
        <f t="shared" si="84"/>
        <v>7.9988041600045152</v>
      </c>
      <c r="D555" s="474">
        <f t="shared" si="83"/>
        <v>4.3690625570102235E-3</v>
      </c>
    </row>
    <row r="556" spans="1:4" x14ac:dyDescent="0.25">
      <c r="A556" s="474">
        <v>0.20428594228864277</v>
      </c>
      <c r="B556" s="474">
        <v>1.9403139318894608E-2</v>
      </c>
      <c r="C556" s="474">
        <f t="shared" si="84"/>
        <v>8.0427536334111327</v>
      </c>
      <c r="D556" s="474">
        <f t="shared" si="83"/>
        <v>4.361999230354888E-3</v>
      </c>
    </row>
    <row r="557" spans="1:4" x14ac:dyDescent="0.25">
      <c r="A557" s="474">
        <v>0.20540225891317088</v>
      </c>
      <c r="B557" s="474">
        <v>1.9371445445505987E-2</v>
      </c>
      <c r="C557" s="474">
        <f t="shared" si="84"/>
        <v>8.0867031068177511</v>
      </c>
      <c r="D557" s="474">
        <f t="shared" si="83"/>
        <v>4.3548741641964706E-3</v>
      </c>
    </row>
    <row r="558" spans="1:4" x14ac:dyDescent="0.25">
      <c r="A558" s="474">
        <v>0.20651857553769898</v>
      </c>
      <c r="B558" s="474">
        <v>1.933947424383619E-2</v>
      </c>
      <c r="C558" s="474">
        <f t="shared" si="84"/>
        <v>8.1306525802243694</v>
      </c>
      <c r="D558" s="474">
        <f t="shared" si="83"/>
        <v>4.347686752160451E-3</v>
      </c>
    </row>
    <row r="559" spans="1:4" x14ac:dyDescent="0.25">
      <c r="A559" s="474">
        <v>0.20763489216222708</v>
      </c>
      <c r="B559" s="474">
        <v>1.930722295708788E-2</v>
      </c>
      <c r="C559" s="474">
        <f t="shared" si="84"/>
        <v>8.1746020536309878</v>
      </c>
      <c r="D559" s="474">
        <f t="shared" si="83"/>
        <v>4.3404363744941376E-3</v>
      </c>
    </row>
    <row r="560" spans="1:4" x14ac:dyDescent="0.25">
      <c r="A560" s="474">
        <v>0.20875120878675518</v>
      </c>
      <c r="B560" s="474">
        <v>1.9274688767166284E-2</v>
      </c>
      <c r="C560" s="474">
        <f t="shared" si="84"/>
        <v>8.2185515270376044</v>
      </c>
      <c r="D560" s="474">
        <f t="shared" si="83"/>
        <v>4.3331223976646235E-3</v>
      </c>
    </row>
    <row r="561" spans="1:4" x14ac:dyDescent="0.25">
      <c r="A561" s="474">
        <v>0.20986752541128328</v>
      </c>
      <c r="B561" s="474">
        <v>1.9241868792819875E-2</v>
      </c>
      <c r="C561" s="474">
        <f t="shared" si="84"/>
        <v>8.2625010004442245</v>
      </c>
      <c r="D561" s="474">
        <f t="shared" si="83"/>
        <v>4.3257441739408013E-3</v>
      </c>
    </row>
    <row r="562" spans="1:4" x14ac:dyDescent="0.25">
      <c r="A562" s="474">
        <v>0.21098384203581139</v>
      </c>
      <c r="B562" s="474">
        <v>1.9208760087706701E-2</v>
      </c>
      <c r="C562" s="474">
        <f t="shared" si="84"/>
        <v>8.3064504738508411</v>
      </c>
      <c r="D562" s="474">
        <f t="shared" si="83"/>
        <v>4.3183010409586515E-3</v>
      </c>
    </row>
    <row r="563" spans="1:4" x14ac:dyDescent="0.25">
      <c r="A563" s="474">
        <v>0.21210015866033949</v>
      </c>
      <c r="B563" s="474">
        <v>1.9175359638382586E-2</v>
      </c>
      <c r="C563" s="474">
        <f t="shared" si="84"/>
        <v>8.3503999472574595</v>
      </c>
      <c r="D563" s="474">
        <f t="shared" si="83"/>
        <v>4.3107923212689766E-3</v>
      </c>
    </row>
    <row r="564" spans="1:4" x14ac:dyDescent="0.25">
      <c r="A564" s="474">
        <v>0.21321647528486759</v>
      </c>
      <c r="B564" s="474">
        <v>1.914166436220735E-2</v>
      </c>
      <c r="C564" s="474">
        <f t="shared" si="84"/>
        <v>8.3943494206640796</v>
      </c>
      <c r="D564" s="474">
        <f t="shared" si="83"/>
        <v>4.3032173218666963E-3</v>
      </c>
    </row>
    <row r="565" spans="1:4" x14ac:dyDescent="0.25">
      <c r="A565" s="474">
        <v>0.21433279190939569</v>
      </c>
      <c r="B565" s="474">
        <v>1.9107671105164981E-2</v>
      </c>
      <c r="C565" s="474">
        <f t="shared" si="84"/>
        <v>8.4382988940706962</v>
      </c>
      <c r="D565" s="474">
        <f t="shared" ref="D565:D628" si="85">B565*$AB$8</f>
        <v>4.2955753337008086E-3</v>
      </c>
    </row>
    <row r="566" spans="1:4" x14ac:dyDescent="0.25">
      <c r="A566" s="474">
        <v>0.21544910853392382</v>
      </c>
      <c r="B566" s="474">
        <v>1.9073376639593256E-2</v>
      </c>
      <c r="C566" s="474">
        <f t="shared" ref="C566:C629" si="86">A566*100/$Z$2</f>
        <v>8.4822483674773146</v>
      </c>
      <c r="D566" s="474">
        <f t="shared" si="85"/>
        <v>4.2878656311639814E-3</v>
      </c>
    </row>
    <row r="567" spans="1:4" x14ac:dyDescent="0.25">
      <c r="A567" s="474">
        <v>0.21656542515845192</v>
      </c>
      <c r="B567" s="474">
        <v>1.9038777661818343E-2</v>
      </c>
      <c r="C567" s="474">
        <f t="shared" si="86"/>
        <v>8.5261978408839347</v>
      </c>
      <c r="D567" s="474">
        <f t="shared" si="85"/>
        <v>4.280087471560794E-3</v>
      </c>
    </row>
    <row r="568" spans="1:4" x14ac:dyDescent="0.25">
      <c r="A568" s="474">
        <v>0.21768174178298003</v>
      </c>
      <c r="B568" s="474">
        <v>1.9003870789689313E-2</v>
      </c>
      <c r="C568" s="474">
        <f t="shared" si="86"/>
        <v>8.5701473142905531</v>
      </c>
      <c r="D568" s="474">
        <f t="shared" si="85"/>
        <v>4.2722400945534736E-3</v>
      </c>
    </row>
    <row r="569" spans="1:4" x14ac:dyDescent="0.25">
      <c r="A569" s="474">
        <v>0.21879805840750813</v>
      </c>
      <c r="B569" s="474">
        <v>1.8968652560007425E-2</v>
      </c>
      <c r="C569" s="474">
        <f t="shared" si="86"/>
        <v>8.6140967876971697</v>
      </c>
      <c r="D569" s="474">
        <f t="shared" si="85"/>
        <v>4.2643227215839741E-3</v>
      </c>
    </row>
    <row r="570" spans="1:4" x14ac:dyDescent="0.25">
      <c r="A570" s="474">
        <v>0.21991437503203623</v>
      </c>
      <c r="B570" s="474">
        <v>1.8933119425844629E-2</v>
      </c>
      <c r="C570" s="474">
        <f t="shared" si="86"/>
        <v>8.6580462611037881</v>
      </c>
      <c r="D570" s="474">
        <f t="shared" si="85"/>
        <v>4.2563345552711507E-3</v>
      </c>
    </row>
    <row r="571" spans="1:4" x14ac:dyDescent="0.25">
      <c r="A571" s="474">
        <v>0.22103069165656433</v>
      </c>
      <c r="B571" s="474">
        <v>1.8897267753745336E-2</v>
      </c>
      <c r="C571" s="474">
        <f t="shared" si="86"/>
        <v>8.7019957345104064</v>
      </c>
      <c r="D571" s="474">
        <f t="shared" si="85"/>
        <v>4.2482747787816952E-3</v>
      </c>
    </row>
    <row r="572" spans="1:4" x14ac:dyDescent="0.25">
      <c r="A572" s="474">
        <v>0.22214700828109243</v>
      </c>
      <c r="B572" s="474">
        <v>1.8861093820805232E-2</v>
      </c>
      <c r="C572" s="474">
        <f t="shared" si="86"/>
        <v>8.7459452079170248</v>
      </c>
      <c r="D572" s="474">
        <f t="shared" si="85"/>
        <v>4.2401425551734269E-3</v>
      </c>
    </row>
    <row r="573" spans="1:4" x14ac:dyDescent="0.25">
      <c r="A573" s="474">
        <v>0.22326332490562054</v>
      </c>
      <c r="B573" s="474">
        <v>1.8824593811620466E-2</v>
      </c>
      <c r="C573" s="474">
        <f t="shared" si="86"/>
        <v>8.7898946813236432</v>
      </c>
      <c r="D573" s="474">
        <f t="shared" si="85"/>
        <v>4.2319370267094392E-3</v>
      </c>
    </row>
    <row r="574" spans="1:4" x14ac:dyDescent="0.25">
      <c r="A574" s="474">
        <v>0.22437964153014864</v>
      </c>
      <c r="B574" s="474">
        <v>1.8787763815100007E-2</v>
      </c>
      <c r="C574" s="474">
        <f t="shared" si="86"/>
        <v>8.8338441547302615</v>
      </c>
      <c r="D574" s="474">
        <f t="shared" si="85"/>
        <v>4.2236573141414954E-3</v>
      </c>
    </row>
    <row r="575" spans="1:4" x14ac:dyDescent="0.25">
      <c r="A575" s="474">
        <v>0.22549595815467674</v>
      </c>
      <c r="B575" s="474">
        <v>1.8750599821133702E-2</v>
      </c>
      <c r="C575" s="474">
        <f t="shared" si="86"/>
        <v>8.8777936281368799</v>
      </c>
      <c r="D575" s="474">
        <f t="shared" si="85"/>
        <v>4.2153025159609725E-3</v>
      </c>
    </row>
    <row r="576" spans="1:4" x14ac:dyDescent="0.25">
      <c r="A576" s="474">
        <v>0.22661227477920484</v>
      </c>
      <c r="B576" s="474">
        <v>1.871309771710794E-2</v>
      </c>
      <c r="C576" s="474">
        <f t="shared" si="86"/>
        <v>8.9217431015434983</v>
      </c>
      <c r="D576" s="474">
        <f t="shared" si="85"/>
        <v>4.2068717076155539E-3</v>
      </c>
    </row>
    <row r="577" spans="1:4" x14ac:dyDescent="0.25">
      <c r="A577" s="474">
        <v>0.22772859140373294</v>
      </c>
      <c r="B577" s="474">
        <v>1.8675253284260146E-2</v>
      </c>
      <c r="C577" s="474">
        <f t="shared" si="86"/>
        <v>8.9656925749501166</v>
      </c>
      <c r="D577" s="474">
        <f t="shared" si="85"/>
        <v>4.198363940689686E-3</v>
      </c>
    </row>
    <row r="578" spans="1:4" x14ac:dyDescent="0.25">
      <c r="A578" s="474">
        <v>0.22884490802826105</v>
      </c>
      <c r="B578" s="474">
        <v>1.8637062193863164E-2</v>
      </c>
      <c r="C578" s="474">
        <f t="shared" si="86"/>
        <v>9.0096420483567332</v>
      </c>
      <c r="D578" s="474">
        <f t="shared" si="85"/>
        <v>4.1897782420467957E-3</v>
      </c>
    </row>
    <row r="579" spans="1:4" x14ac:dyDescent="0.25">
      <c r="A579" s="474">
        <v>0.22996122465278915</v>
      </c>
      <c r="B579" s="474">
        <v>1.8598520003229466E-2</v>
      </c>
      <c r="C579" s="474">
        <f t="shared" si="86"/>
        <v>9.0535915217633516</v>
      </c>
      <c r="D579" s="474">
        <f t="shared" si="85"/>
        <v>4.1811136129309969E-3</v>
      </c>
    </row>
    <row r="580" spans="1:4" x14ac:dyDescent="0.25">
      <c r="A580" s="474">
        <v>0.23107754127731725</v>
      </c>
      <c r="B580" s="474">
        <v>1.8559622151524728E-2</v>
      </c>
      <c r="C580" s="474">
        <f t="shared" si="86"/>
        <v>9.0975409951699699</v>
      </c>
      <c r="D580" s="474">
        <f t="shared" si="85"/>
        <v>4.1723690280259509E-3</v>
      </c>
    </row>
    <row r="581" spans="1:4" x14ac:dyDescent="0.25">
      <c r="A581" s="474">
        <v>0.23219385790184535</v>
      </c>
      <c r="B581" s="474">
        <v>1.8520363955379641E-2</v>
      </c>
      <c r="C581" s="474">
        <f t="shared" si="86"/>
        <v>9.1414904685765883</v>
      </c>
      <c r="D581" s="474">
        <f t="shared" si="85"/>
        <v>4.1635434344683541E-3</v>
      </c>
    </row>
    <row r="582" spans="1:4" x14ac:dyDescent="0.25">
      <c r="A582" s="474">
        <v>0.23331017452637345</v>
      </c>
      <c r="B582" s="474">
        <v>1.8480740604287733E-2</v>
      </c>
      <c r="C582" s="474">
        <f t="shared" si="86"/>
        <v>9.1854399419832067</v>
      </c>
      <c r="D582" s="474">
        <f t="shared" si="85"/>
        <v>4.1546357508133345E-3</v>
      </c>
    </row>
    <row r="583" spans="1:4" x14ac:dyDescent="0.25">
      <c r="A583" s="474">
        <v>0.23442649115090156</v>
      </c>
      <c r="B583" s="474">
        <v>1.8440747155776416E-2</v>
      </c>
      <c r="C583" s="474">
        <f t="shared" si="86"/>
        <v>9.229389415389825</v>
      </c>
      <c r="D583" s="474">
        <f t="shared" si="85"/>
        <v>4.1456448659488564E-3</v>
      </c>
    </row>
    <row r="584" spans="1:4" x14ac:dyDescent="0.25">
      <c r="A584" s="474">
        <v>0.23554280777542966</v>
      </c>
      <c r="B584" s="474">
        <v>1.8400378530337408E-2</v>
      </c>
      <c r="C584" s="474">
        <f t="shared" si="86"/>
        <v>9.2733388887964434</v>
      </c>
      <c r="D584" s="474">
        <f t="shared" si="85"/>
        <v>4.1365696379560358E-3</v>
      </c>
    </row>
    <row r="585" spans="1:4" x14ac:dyDescent="0.25">
      <c r="A585" s="474">
        <v>0.23665912439995776</v>
      </c>
      <c r="B585" s="474">
        <v>1.8359629506101607E-2</v>
      </c>
      <c r="C585" s="474">
        <f t="shared" si="86"/>
        <v>9.3172883622030618</v>
      </c>
      <c r="D585" s="474">
        <f t="shared" si="85"/>
        <v>4.1274088929120012E-3</v>
      </c>
    </row>
    <row r="586" spans="1:4" x14ac:dyDescent="0.25">
      <c r="A586" s="474">
        <v>0.23777544102448586</v>
      </c>
      <c r="B586" s="474">
        <v>1.8318494713242591E-2</v>
      </c>
      <c r="C586" s="474">
        <f t="shared" si="86"/>
        <v>9.3612378356096801</v>
      </c>
      <c r="D586" s="474">
        <f t="shared" si="85"/>
        <v>4.1181614236317533E-3</v>
      </c>
    </row>
    <row r="587" spans="1:4" x14ac:dyDescent="0.25">
      <c r="A587" s="474">
        <v>0.23889175764901396</v>
      </c>
      <c r="B587" s="474">
        <v>1.8276968628091521E-2</v>
      </c>
      <c r="C587" s="474">
        <f t="shared" si="86"/>
        <v>9.4051873090162967</v>
      </c>
      <c r="D587" s="474">
        <f t="shared" si="85"/>
        <v>4.1088259883451436E-3</v>
      </c>
    </row>
    <row r="588" spans="1:4" x14ac:dyDescent="0.25">
      <c r="A588" s="474">
        <v>0.24000807427354207</v>
      </c>
      <c r="B588" s="474">
        <v>1.8235045566945021E-2</v>
      </c>
      <c r="C588" s="474">
        <f t="shared" si="86"/>
        <v>9.4491367824229169</v>
      </c>
      <c r="D588" s="474">
        <f t="shared" si="85"/>
        <v>4.0994013093048256E-3</v>
      </c>
    </row>
    <row r="589" spans="1:4" x14ac:dyDescent="0.25">
      <c r="A589" s="474">
        <v>0.24112439089807017</v>
      </c>
      <c r="B589" s="474">
        <v>1.8192719679546245E-2</v>
      </c>
      <c r="C589" s="474">
        <f t="shared" si="86"/>
        <v>9.4930862558295335</v>
      </c>
      <c r="D589" s="474">
        <f t="shared" si="85"/>
        <v>4.0898860713207454E-3</v>
      </c>
    </row>
    <row r="590" spans="1:4" x14ac:dyDescent="0.25">
      <c r="A590" s="474">
        <v>0.24224070752259827</v>
      </c>
      <c r="B590" s="474">
        <v>1.8149984942217742E-2</v>
      </c>
      <c r="C590" s="474">
        <f t="shared" si="86"/>
        <v>9.5370357292361518</v>
      </c>
      <c r="D590" s="474">
        <f t="shared" si="85"/>
        <v>4.0802789202163455E-3</v>
      </c>
    </row>
    <row r="591" spans="1:4" x14ac:dyDescent="0.25">
      <c r="A591" s="474">
        <v>0.24335702414712637</v>
      </c>
      <c r="B591" s="474">
        <v>1.8106835150623026E-2</v>
      </c>
      <c r="C591" s="474">
        <f t="shared" si="86"/>
        <v>9.5809852026427702</v>
      </c>
      <c r="D591" s="474">
        <f t="shared" si="85"/>
        <v>4.0705784612013012E-3</v>
      </c>
    </row>
    <row r="592" spans="1:4" x14ac:dyDescent="0.25">
      <c r="A592" s="474">
        <v>0.24447334077165447</v>
      </c>
      <c r="B592" s="474">
        <v>1.8063263912132019E-2</v>
      </c>
      <c r="C592" s="474">
        <f t="shared" si="86"/>
        <v>9.6249346760493886</v>
      </c>
      <c r="D592" s="474">
        <f t="shared" si="85"/>
        <v>4.0607832571552061E-3</v>
      </c>
    </row>
    <row r="593" spans="1:4" x14ac:dyDescent="0.25">
      <c r="A593" s="474">
        <v>0.24558965739618258</v>
      </c>
      <c r="B593" s="474">
        <v>1.8019264637763481E-2</v>
      </c>
      <c r="C593" s="474">
        <f t="shared" si="86"/>
        <v>9.6688841494560069</v>
      </c>
      <c r="D593" s="474">
        <f t="shared" si="85"/>
        <v>4.0508918268161555E-3</v>
      </c>
    </row>
    <row r="594" spans="1:4" x14ac:dyDescent="0.25">
      <c r="A594" s="474">
        <v>0.24670597402071068</v>
      </c>
      <c r="B594" s="474">
        <v>1.7974830533675386E-2</v>
      </c>
      <c r="C594" s="474">
        <f t="shared" si="86"/>
        <v>9.7128336228626253</v>
      </c>
      <c r="D594" s="474">
        <f t="shared" si="85"/>
        <v>4.0409026428677086E-3</v>
      </c>
    </row>
    <row r="595" spans="1:4" x14ac:dyDescent="0.25">
      <c r="A595" s="474">
        <v>0.24782229064523878</v>
      </c>
      <c r="B595" s="474">
        <v>1.792995459217173E-2</v>
      </c>
      <c r="C595" s="474">
        <f t="shared" si="86"/>
        <v>9.7567830962692437</v>
      </c>
      <c r="D595" s="474">
        <f t="shared" si="85"/>
        <v>4.0308141299171384E-3</v>
      </c>
    </row>
    <row r="596" spans="1:4" x14ac:dyDescent="0.25">
      <c r="A596" s="474">
        <v>0.24893860726976688</v>
      </c>
      <c r="B596" s="474">
        <v>1.7884629582191794E-2</v>
      </c>
      <c r="C596" s="474">
        <f t="shared" si="86"/>
        <v>9.8007325696758603</v>
      </c>
      <c r="D596" s="474">
        <f t="shared" si="85"/>
        <v>4.02062466235733E-3</v>
      </c>
    </row>
    <row r="597" spans="1:4" x14ac:dyDescent="0.25">
      <c r="A597" s="474">
        <v>0.25005492389429501</v>
      </c>
      <c r="B597" s="474">
        <v>1.7838848039244862E-2</v>
      </c>
      <c r="C597" s="474">
        <f t="shared" si="86"/>
        <v>9.8446820430824804</v>
      </c>
      <c r="D597" s="474">
        <f t="shared" si="85"/>
        <v>4.0103325621040214E-3</v>
      </c>
    </row>
    <row r="598" spans="1:4" x14ac:dyDescent="0.25">
      <c r="A598" s="474">
        <v>0.25117124051882311</v>
      </c>
      <c r="B598" s="474">
        <v>1.7792602254750239E-2</v>
      </c>
      <c r="C598" s="474">
        <f t="shared" si="86"/>
        <v>9.8886315164890988</v>
      </c>
      <c r="D598" s="474">
        <f t="shared" si="85"/>
        <v>3.9999360961993384E-3</v>
      </c>
    </row>
    <row r="599" spans="1:4" x14ac:dyDescent="0.25">
      <c r="A599" s="474">
        <v>0.25228755714335122</v>
      </c>
      <c r="B599" s="474">
        <v>1.7745884264739067E-2</v>
      </c>
      <c r="C599" s="474">
        <f t="shared" si="86"/>
        <v>9.9325809898957171</v>
      </c>
      <c r="D599" s="474">
        <f t="shared" si="85"/>
        <v>3.9894334742718645E-3</v>
      </c>
    </row>
    <row r="600" spans="1:4" x14ac:dyDescent="0.25">
      <c r="A600" s="474">
        <v>0.25340387376787932</v>
      </c>
      <c r="B600" s="474">
        <v>1.7698685837870431E-2</v>
      </c>
      <c r="C600" s="474">
        <f t="shared" si="86"/>
        <v>9.9765304633023355</v>
      </c>
      <c r="D600" s="474">
        <f t="shared" si="85"/>
        <v>3.978822845842553E-3</v>
      </c>
    </row>
    <row r="601" spans="1:4" x14ac:dyDescent="0.25">
      <c r="A601" s="474">
        <v>0.25452019039240742</v>
      </c>
      <c r="B601" s="474">
        <v>1.7650998462710187E-2</v>
      </c>
      <c r="C601" s="474">
        <f t="shared" si="86"/>
        <v>10.020479936708954</v>
      </c>
      <c r="D601" s="474">
        <f t="shared" si="85"/>
        <v>3.9681022974648959E-3</v>
      </c>
    </row>
    <row r="602" spans="1:4" x14ac:dyDescent="0.25">
      <c r="A602" s="474">
        <v>0.25563650701693552</v>
      </c>
      <c r="B602" s="474">
        <v>1.7602813334216118E-2</v>
      </c>
      <c r="C602" s="474">
        <f t="shared" si="86"/>
        <v>10.064429410115572</v>
      </c>
      <c r="D602" s="474">
        <f t="shared" si="85"/>
        <v>3.9572698496866641E-3</v>
      </c>
    </row>
    <row r="603" spans="1:4" x14ac:dyDescent="0.25">
      <c r="A603" s="474">
        <v>0.25675282364146362</v>
      </c>
      <c r="B603" s="474">
        <v>1.7554121339367949E-2</v>
      </c>
      <c r="C603" s="474">
        <f t="shared" si="86"/>
        <v>10.108378883522189</v>
      </c>
      <c r="D603" s="474">
        <f t="shared" si="85"/>
        <v>3.9463234538194072E-3</v>
      </c>
    </row>
    <row r="604" spans="1:4" x14ac:dyDescent="0.25">
      <c r="A604" s="474">
        <v>0.25786914026599173</v>
      </c>
      <c r="B604" s="474">
        <v>1.7504913041875091E-2</v>
      </c>
      <c r="C604" s="474">
        <f t="shared" si="86"/>
        <v>10.152328356928809</v>
      </c>
      <c r="D604" s="474">
        <f t="shared" si="85"/>
        <v>3.9352609885006176E-3</v>
      </c>
    </row>
    <row r="605" spans="1:4" x14ac:dyDescent="0.25">
      <c r="A605" s="474">
        <v>0.25898545689051983</v>
      </c>
      <c r="B605" s="474">
        <v>1.7455178665888485E-2</v>
      </c>
      <c r="C605" s="474">
        <f t="shared" si="86"/>
        <v>10.196277830335426</v>
      </c>
      <c r="D605" s="474">
        <f t="shared" si="85"/>
        <v>3.9240802560320063E-3</v>
      </c>
    </row>
    <row r="606" spans="1:4" x14ac:dyDescent="0.25">
      <c r="A606" s="474">
        <v>0.26010177351504793</v>
      </c>
      <c r="B606" s="474">
        <v>1.7404908078636053E-2</v>
      </c>
      <c r="C606" s="474">
        <f t="shared" si="86"/>
        <v>10.240227303742044</v>
      </c>
      <c r="D606" s="474">
        <f t="shared" si="85"/>
        <v>3.9127789784757982E-3</v>
      </c>
    </row>
    <row r="607" spans="1:4" x14ac:dyDescent="0.25">
      <c r="A607" s="474">
        <v>0.26121809013957603</v>
      </c>
      <c r="B607" s="474">
        <v>1.7354090771893288E-2</v>
      </c>
      <c r="C607" s="474">
        <f t="shared" si="86"/>
        <v>10.284176777148662</v>
      </c>
      <c r="D607" s="474">
        <f t="shared" si="85"/>
        <v>3.9013547934891556E-3</v>
      </c>
    </row>
    <row r="608" spans="1:4" x14ac:dyDescent="0.25">
      <c r="A608" s="474">
        <v>0.26233440676410413</v>
      </c>
      <c r="B608" s="474">
        <v>1.730271584219192E-2</v>
      </c>
      <c r="C608" s="474">
        <f t="shared" si="86"/>
        <v>10.328126250555281</v>
      </c>
      <c r="D608" s="474">
        <f t="shared" si="85"/>
        <v>3.8898052498749077E-3</v>
      </c>
    </row>
    <row r="609" spans="1:4" x14ac:dyDescent="0.25">
      <c r="A609" s="474">
        <v>0.26345072338863224</v>
      </c>
      <c r="B609" s="474">
        <v>1.7250771969659733E-2</v>
      </c>
      <c r="C609" s="474">
        <f t="shared" si="86"/>
        <v>10.372075723961899</v>
      </c>
      <c r="D609" s="474">
        <f t="shared" si="85"/>
        <v>3.8781278028245528E-3</v>
      </c>
    </row>
    <row r="610" spans="1:4" x14ac:dyDescent="0.25">
      <c r="A610" s="474">
        <v>0.26456704001316034</v>
      </c>
      <c r="B610" s="474">
        <v>1.7198247395373904E-2</v>
      </c>
      <c r="C610" s="474">
        <f t="shared" si="86"/>
        <v>10.416025197368517</v>
      </c>
      <c r="D610" s="474">
        <f t="shared" si="85"/>
        <v>3.8663198088270869E-3</v>
      </c>
    </row>
    <row r="611" spans="1:4" x14ac:dyDescent="0.25">
      <c r="A611" s="474">
        <v>0.26568335663768844</v>
      </c>
      <c r="B611" s="474">
        <v>1.7145129897097908E-2</v>
      </c>
      <c r="C611" s="474">
        <f t="shared" si="86"/>
        <v>10.459974670775136</v>
      </c>
      <c r="D611" s="474">
        <f t="shared" si="85"/>
        <v>3.8543785202144422E-3</v>
      </c>
    </row>
    <row r="612" spans="1:4" x14ac:dyDescent="0.25">
      <c r="A612" s="474">
        <v>0.26679967326221654</v>
      </c>
      <c r="B612" s="474">
        <v>1.7091406763258443E-2</v>
      </c>
      <c r="C612" s="474">
        <f t="shared" si="86"/>
        <v>10.503924144181754</v>
      </c>
      <c r="D612" s="474">
        <f t="shared" si="85"/>
        <v>3.8423010793112683E-3</v>
      </c>
    </row>
    <row r="613" spans="1:4" x14ac:dyDescent="0.25">
      <c r="A613" s="474">
        <v>0.26791598988674464</v>
      </c>
      <c r="B613" s="474">
        <v>1.7037064765003544E-2</v>
      </c>
      <c r="C613" s="474">
        <f t="shared" si="86"/>
        <v>10.547873617588372</v>
      </c>
      <c r="D613" s="474">
        <f t="shared" si="85"/>
        <v>3.8300845121533454E-3</v>
      </c>
    </row>
    <row r="614" spans="1:4" x14ac:dyDescent="0.25">
      <c r="A614" s="474">
        <v>0.26903230651127275</v>
      </c>
      <c r="B614" s="474">
        <v>1.6982090126165819E-2</v>
      </c>
      <c r="C614" s="474">
        <f t="shared" si="86"/>
        <v>10.591823090994989</v>
      </c>
      <c r="D614" s="474">
        <f t="shared" si="85"/>
        <v>3.8177257217350503E-3</v>
      </c>
    </row>
    <row r="615" spans="1:4" x14ac:dyDescent="0.25">
      <c r="A615" s="474">
        <v>0.27014862313580085</v>
      </c>
      <c r="B615" s="474">
        <v>1.6926468490935116E-2</v>
      </c>
      <c r="C615" s="474">
        <f t="shared" si="86"/>
        <v>10.635772564401607</v>
      </c>
      <c r="D615" s="474">
        <f t="shared" si="85"/>
        <v>3.8052214807418857E-3</v>
      </c>
    </row>
    <row r="616" spans="1:4" x14ac:dyDescent="0.25">
      <c r="A616" s="474">
        <v>0.27126493976032895</v>
      </c>
      <c r="B616" s="474">
        <v>1.687018488902323E-2</v>
      </c>
      <c r="C616" s="474">
        <f t="shared" si="86"/>
        <v>10.679722037808226</v>
      </c>
      <c r="D616" s="474">
        <f t="shared" si="85"/>
        <v>3.7925684237191917E-3</v>
      </c>
    </row>
    <row r="617" spans="1:4" x14ac:dyDescent="0.25">
      <c r="A617" s="474">
        <v>0.27238125638485705</v>
      </c>
      <c r="B617" s="474">
        <v>1.6813223698078177E-2</v>
      </c>
      <c r="C617" s="474">
        <f t="shared" si="86"/>
        <v>10.723671511214844</v>
      </c>
      <c r="D617" s="474">
        <f t="shared" si="85"/>
        <v>3.7797630386225407E-3</v>
      </c>
    </row>
    <row r="618" spans="1:4" x14ac:dyDescent="0.25">
      <c r="A618" s="474">
        <v>0.27349757300938515</v>
      </c>
      <c r="B618" s="474">
        <v>1.6755568603077472E-2</v>
      </c>
      <c r="C618" s="474">
        <f t="shared" si="86"/>
        <v>10.767620984621463</v>
      </c>
      <c r="D618" s="474">
        <f t="shared" si="85"/>
        <v>3.7668016576889816E-3</v>
      </c>
    </row>
    <row r="619" spans="1:4" x14ac:dyDescent="0.25">
      <c r="A619" s="474">
        <v>0.27461388963391326</v>
      </c>
      <c r="B619" s="474">
        <v>1.6697202552397674E-2</v>
      </c>
      <c r="C619" s="474">
        <f t="shared" si="86"/>
        <v>10.811570458028081</v>
      </c>
      <c r="D619" s="474">
        <f t="shared" si="85"/>
        <v>3.7536804475610816E-3</v>
      </c>
    </row>
    <row r="620" spans="1:4" x14ac:dyDescent="0.25">
      <c r="A620" s="474">
        <v>0.27573020625844136</v>
      </c>
      <c r="B620" s="474">
        <v>1.6638107710221058E-2</v>
      </c>
      <c r="C620" s="474">
        <f t="shared" si="86"/>
        <v>10.855519931434699</v>
      </c>
      <c r="D620" s="474">
        <f t="shared" si="85"/>
        <v>3.7403953985875207E-3</v>
      </c>
    </row>
    <row r="621" spans="1:4" x14ac:dyDescent="0.25">
      <c r="A621" s="474">
        <v>0.27684652288296946</v>
      </c>
      <c r="B621" s="474">
        <v>1.6578265404898412E-2</v>
      </c>
      <c r="C621" s="474">
        <f t="shared" si="86"/>
        <v>10.899469404841318</v>
      </c>
      <c r="D621" s="474">
        <f t="shared" si="85"/>
        <v>3.7269423132145854E-3</v>
      </c>
    </row>
    <row r="622" spans="1:4" x14ac:dyDescent="0.25">
      <c r="A622" s="474">
        <v>0.27796283950749756</v>
      </c>
      <c r="B622" s="474">
        <v>1.6517656072839261E-2</v>
      </c>
      <c r="C622" s="474">
        <f t="shared" si="86"/>
        <v>10.943418878247936</v>
      </c>
      <c r="D622" s="474">
        <f t="shared" si="85"/>
        <v>3.7133167933721908E-3</v>
      </c>
    </row>
    <row r="623" spans="1:4" x14ac:dyDescent="0.25">
      <c r="A623" s="474">
        <v>0.27907915613202566</v>
      </c>
      <c r="B623" s="474">
        <v>1.6456259197445991E-2</v>
      </c>
      <c r="C623" s="474">
        <f t="shared" si="86"/>
        <v>10.987368351654553</v>
      </c>
      <c r="D623" s="474">
        <f t="shared" si="85"/>
        <v>3.6995142267457252E-3</v>
      </c>
    </row>
    <row r="624" spans="1:4" x14ac:dyDescent="0.25">
      <c r="A624" s="474">
        <v>0.28019547275655377</v>
      </c>
      <c r="B624" s="474">
        <v>1.639405324254524E-2</v>
      </c>
      <c r="C624" s="474">
        <f t="shared" si="86"/>
        <v>11.031317825061173</v>
      </c>
      <c r="D624" s="474">
        <f t="shared" si="85"/>
        <v>3.6855297718108304E-3</v>
      </c>
    </row>
    <row r="625" spans="1:4" x14ac:dyDescent="0.25">
      <c r="A625" s="474">
        <v>0.28131178938108187</v>
      </c>
      <c r="B625" s="474">
        <v>1.6331015579697197E-2</v>
      </c>
      <c r="C625" s="474">
        <f t="shared" si="86"/>
        <v>11.075267298467789</v>
      </c>
      <c r="D625" s="474">
        <f t="shared" si="85"/>
        <v>3.6713583414918838E-3</v>
      </c>
    </row>
    <row r="626" spans="1:4" x14ac:dyDescent="0.25">
      <c r="A626" s="474">
        <v>0.28242810600560997</v>
      </c>
      <c r="B626" s="474">
        <v>1.6267122408679179E-2</v>
      </c>
      <c r="C626" s="474">
        <f t="shared" si="86"/>
        <v>11.119216771874408</v>
      </c>
      <c r="D626" s="474">
        <f t="shared" si="85"/>
        <v>3.6569945852859931E-3</v>
      </c>
    </row>
    <row r="627" spans="1:4" x14ac:dyDescent="0.25">
      <c r="A627" s="474">
        <v>0.28354442263013807</v>
      </c>
      <c r="B627" s="474">
        <v>1.620234867034227E-2</v>
      </c>
      <c r="C627" s="474">
        <f t="shared" si="86"/>
        <v>11.163166245281026</v>
      </c>
      <c r="D627" s="474">
        <f t="shared" si="85"/>
        <v>3.6424328696723928E-3</v>
      </c>
    </row>
    <row r="628" spans="1:4" x14ac:dyDescent="0.25">
      <c r="A628" s="474">
        <v>0.28466073925466617</v>
      </c>
      <c r="B628" s="474">
        <v>1.613666795092604E-2</v>
      </c>
      <c r="C628" s="474">
        <f t="shared" si="86"/>
        <v>11.207115718687644</v>
      </c>
      <c r="D628" s="474">
        <f t="shared" si="85"/>
        <v>3.6276672566015349E-3</v>
      </c>
    </row>
    <row r="629" spans="1:4" x14ac:dyDescent="0.25">
      <c r="A629" s="474">
        <v>0.28577705587919427</v>
      </c>
      <c r="B629" s="474">
        <v>1.6070052376783668E-2</v>
      </c>
      <c r="C629" s="474">
        <f t="shared" si="86"/>
        <v>11.251065192094263</v>
      </c>
      <c r="D629" s="474">
        <f t="shared" ref="D629:D673" si="87">B629*$AB$8</f>
        <v>3.6126914798283553E-3</v>
      </c>
    </row>
    <row r="630" spans="1:4" x14ac:dyDescent="0.25">
      <c r="A630" s="474">
        <v>0.28689337250372238</v>
      </c>
      <c r="B630" s="474">
        <v>1.6002472498314328E-2</v>
      </c>
      <c r="C630" s="474">
        <f t="shared" ref="C630:C673" si="88">A630*100/$Z$2</f>
        <v>11.295014665500881</v>
      </c>
      <c r="D630" s="474">
        <f t="shared" si="87"/>
        <v>3.5974989188192362E-3</v>
      </c>
    </row>
    <row r="631" spans="1:4" x14ac:dyDescent="0.25">
      <c r="A631" s="474">
        <v>0.28800968912825048</v>
      </c>
      <c r="B631" s="474">
        <v>1.5933897161716983E-2</v>
      </c>
      <c r="C631" s="474">
        <f t="shared" si="88"/>
        <v>11.3389641389075</v>
      </c>
      <c r="D631" s="474">
        <f t="shared" si="87"/>
        <v>3.5820825699211145E-3</v>
      </c>
    </row>
    <row r="632" spans="1:4" x14ac:dyDescent="0.25">
      <c r="A632" s="474">
        <v>0.28912600575277858</v>
      </c>
      <c r="B632" s="474">
        <v>1.5864293366964221E-2</v>
      </c>
      <c r="C632" s="474">
        <f t="shared" si="88"/>
        <v>11.382913612314116</v>
      </c>
      <c r="D632" s="474">
        <f t="shared" si="87"/>
        <v>3.5664350144327265E-3</v>
      </c>
    </row>
    <row r="633" spans="1:4" x14ac:dyDescent="0.25">
      <c r="A633" s="474">
        <v>0.29024232237730668</v>
      </c>
      <c r="B633" s="474">
        <v>1.579362611013959E-2</v>
      </c>
      <c r="C633" s="474">
        <f t="shared" si="88"/>
        <v>11.426863085720736</v>
      </c>
      <c r="D633" s="474">
        <f t="shared" si="87"/>
        <v>3.5505483831606332E-3</v>
      </c>
    </row>
    <row r="634" spans="1:4" x14ac:dyDescent="0.25">
      <c r="A634" s="474">
        <v>0.29135863900183478</v>
      </c>
      <c r="B634" s="474">
        <v>1.5721858207978622E-2</v>
      </c>
      <c r="C634" s="474">
        <f t="shared" si="88"/>
        <v>11.470812559127355</v>
      </c>
      <c r="D634" s="474">
        <f t="shared" si="87"/>
        <v>3.5344143169744732E-3</v>
      </c>
    </row>
    <row r="635" spans="1:4" x14ac:dyDescent="0.25">
      <c r="A635" s="474">
        <v>0.29247495562636289</v>
      </c>
      <c r="B635" s="474">
        <v>1.5648950102091858E-2</v>
      </c>
      <c r="C635" s="474">
        <f t="shared" si="88"/>
        <v>11.514762032533971</v>
      </c>
      <c r="D635" s="474">
        <f t="shared" si="87"/>
        <v>3.5180239227945477E-3</v>
      </c>
    </row>
    <row r="636" spans="1:4" x14ac:dyDescent="0.25">
      <c r="A636" s="474">
        <v>0.29359127225089099</v>
      </c>
      <c r="B636" s="474">
        <v>1.5574859639914215E-2</v>
      </c>
      <c r="C636" s="474">
        <f t="shared" si="88"/>
        <v>11.55871150594059</v>
      </c>
      <c r="D636" s="474">
        <f t="shared" si="87"/>
        <v>3.5013677243472788E-3</v>
      </c>
    </row>
    <row r="637" spans="1:4" x14ac:dyDescent="0.25">
      <c r="A637" s="474">
        <v>0.29470758887541909</v>
      </c>
      <c r="B637" s="474">
        <v>1.5499541828902941E-2</v>
      </c>
      <c r="C637" s="474">
        <f t="shared" si="88"/>
        <v>11.602660979347208</v>
      </c>
      <c r="D637" s="474">
        <f t="shared" si="87"/>
        <v>3.4844356069067125E-3</v>
      </c>
    </row>
    <row r="638" spans="1:4" x14ac:dyDescent="0.25">
      <c r="A638" s="474">
        <v>0.29582390549994719</v>
      </c>
      <c r="B638" s="474">
        <v>1.5422948559874337E-2</v>
      </c>
      <c r="C638" s="474">
        <f t="shared" si="88"/>
        <v>11.646610452753826</v>
      </c>
      <c r="D638" s="474">
        <f t="shared" si="87"/>
        <v>3.4672167550981398E-3</v>
      </c>
    </row>
    <row r="639" spans="1:4" x14ac:dyDescent="0.25">
      <c r="A639" s="474">
        <v>0.29694022212447529</v>
      </c>
      <c r="B639" s="474">
        <v>1.5345028294601371E-2</v>
      </c>
      <c r="C639" s="474">
        <f t="shared" si="88"/>
        <v>11.690559926160445</v>
      </c>
      <c r="D639" s="474">
        <f t="shared" si="87"/>
        <v>3.4496995826672461E-3</v>
      </c>
    </row>
    <row r="640" spans="1:4" x14ac:dyDescent="0.25">
      <c r="A640" s="474">
        <v>0.2980565387490034</v>
      </c>
      <c r="B640" s="474">
        <v>1.5265725711855388E-2</v>
      </c>
      <c r="C640" s="474">
        <f t="shared" si="88"/>
        <v>11.734509399567063</v>
      </c>
      <c r="D640" s="474">
        <f t="shared" si="87"/>
        <v>3.4318716529071233E-3</v>
      </c>
    </row>
    <row r="641" spans="1:4" x14ac:dyDescent="0.25">
      <c r="A641" s="474">
        <v>0.2991728553735315</v>
      </c>
      <c r="B641" s="474">
        <v>1.5184981304921279E-2</v>
      </c>
      <c r="C641" s="474">
        <f t="shared" si="88"/>
        <v>11.77845887297368</v>
      </c>
      <c r="D641" s="474">
        <f t="shared" si="87"/>
        <v>3.413719588176079E-3</v>
      </c>
    </row>
    <row r="642" spans="1:4" x14ac:dyDescent="0.25">
      <c r="A642" s="474">
        <v>0.3002891719980596</v>
      </c>
      <c r="B642" s="474">
        <v>1.5102730922189108E-2</v>
      </c>
      <c r="C642" s="474">
        <f t="shared" si="88"/>
        <v>11.8224083463803</v>
      </c>
      <c r="D642" s="474">
        <f t="shared" si="87"/>
        <v>3.3952289666185275E-3</v>
      </c>
    </row>
    <row r="643" spans="1:4" x14ac:dyDescent="0.25">
      <c r="A643" s="474">
        <v>0.3014054886225877</v>
      </c>
      <c r="B643" s="474">
        <v>1.5018905240650825E-2</v>
      </c>
      <c r="C643" s="474">
        <f t="shared" si="88"/>
        <v>11.866357819786918</v>
      </c>
      <c r="D643" s="474">
        <f t="shared" si="87"/>
        <v>3.3763842038023423E-3</v>
      </c>
    </row>
    <row r="644" spans="1:4" x14ac:dyDescent="0.25">
      <c r="A644" s="474">
        <v>0.3025218052471158</v>
      </c>
      <c r="B644" s="474">
        <v>1.4933429159909046E-2</v>
      </c>
      <c r="C644" s="474">
        <f t="shared" si="88"/>
        <v>11.910307293193535</v>
      </c>
      <c r="D644" s="474">
        <f t="shared" si="87"/>
        <v>3.3571684164866106E-3</v>
      </c>
    </row>
    <row r="645" spans="1:4" x14ac:dyDescent="0.25">
      <c r="A645" s="474">
        <v>0.30363812187164391</v>
      </c>
      <c r="B645" s="474">
        <v>1.4846221101503541E-2</v>
      </c>
      <c r="C645" s="474">
        <f t="shared" si="88"/>
        <v>11.954256766600155</v>
      </c>
      <c r="D645" s="474">
        <f t="shared" si="87"/>
        <v>3.3375632651039618E-3</v>
      </c>
    </row>
    <row r="646" spans="1:4" x14ac:dyDescent="0.25">
      <c r="A646" s="474">
        <v>0.30475443849617201</v>
      </c>
      <c r="B646" s="474">
        <v>1.4757192194802218E-2</v>
      </c>
      <c r="C646" s="474">
        <f t="shared" si="88"/>
        <v>11.998206240006771</v>
      </c>
      <c r="D646" s="474">
        <f t="shared" si="87"/>
        <v>3.3175487707415808E-3</v>
      </c>
    </row>
    <row r="647" spans="1:4" x14ac:dyDescent="0.25">
      <c r="A647" s="474">
        <v>0.30587075512070011</v>
      </c>
      <c r="B647" s="474">
        <v>1.4666245326146521E-2</v>
      </c>
      <c r="C647" s="474">
        <f t="shared" si="88"/>
        <v>12.04215571341339</v>
      </c>
      <c r="D647" s="474">
        <f t="shared" si="87"/>
        <v>3.297103101380591E-3</v>
      </c>
    </row>
    <row r="648" spans="1:4" x14ac:dyDescent="0.25">
      <c r="A648" s="474">
        <v>0.30698707174522821</v>
      </c>
      <c r="B648" s="474">
        <v>1.4573274022056052E-2</v>
      </c>
      <c r="C648" s="474">
        <f t="shared" si="88"/>
        <v>12.086105186820008</v>
      </c>
      <c r="D648" s="474">
        <f t="shared" si="87"/>
        <v>3.2762023208304661E-3</v>
      </c>
    </row>
    <row r="649" spans="1:4" x14ac:dyDescent="0.25">
      <c r="A649" s="474">
        <v>0.30810338836975631</v>
      </c>
      <c r="B649" s="474">
        <v>1.4478161129627732E-2</v>
      </c>
      <c r="C649" s="474">
        <f t="shared" si="88"/>
        <v>12.130054660226627</v>
      </c>
      <c r="D649" s="474">
        <f t="shared" si="87"/>
        <v>3.2548200920709609E-3</v>
      </c>
    </row>
    <row r="650" spans="1:4" x14ac:dyDescent="0.25">
      <c r="A650" s="474">
        <v>0.30921970499428442</v>
      </c>
      <c r="B650" s="474">
        <v>1.4380777247171074E-2</v>
      </c>
      <c r="C650" s="474">
        <f t="shared" si="88"/>
        <v>12.174004133633243</v>
      </c>
      <c r="D650" s="474">
        <f t="shared" si="87"/>
        <v>3.2329273244448863E-3</v>
      </c>
    </row>
    <row r="651" spans="1:4" x14ac:dyDescent="0.25">
      <c r="A651" s="474">
        <v>0.31033602161881252</v>
      </c>
      <c r="B651" s="474">
        <v>1.4280978844696712E-2</v>
      </c>
      <c r="C651" s="474">
        <f t="shared" si="88"/>
        <v>12.217953607039863</v>
      </c>
      <c r="D651" s="474">
        <f t="shared" si="87"/>
        <v>3.2104917511271238E-3</v>
      </c>
    </row>
    <row r="652" spans="1:4" x14ac:dyDescent="0.25">
      <c r="A652" s="474">
        <v>0.31145233824334062</v>
      </c>
      <c r="B652" s="474">
        <v>1.4178605995816069E-2</v>
      </c>
      <c r="C652" s="474">
        <f t="shared" si="88"/>
        <v>12.261903080446482</v>
      </c>
      <c r="D652" s="474">
        <f t="shared" si="87"/>
        <v>3.1874774192353897E-3</v>
      </c>
    </row>
    <row r="653" spans="1:4" x14ac:dyDescent="0.25">
      <c r="A653" s="474">
        <v>0.31256865486786872</v>
      </c>
      <c r="B653" s="474">
        <v>1.4073479618014268E-2</v>
      </c>
      <c r="C653" s="474">
        <f t="shared" si="88"/>
        <v>12.305852553853098</v>
      </c>
      <c r="D653" s="474">
        <f t="shared" si="87"/>
        <v>3.1638440694189032E-3</v>
      </c>
    </row>
    <row r="654" spans="1:4" x14ac:dyDescent="0.25">
      <c r="A654" s="474">
        <v>0.31368497149239682</v>
      </c>
      <c r="B654" s="474">
        <v>1.3965398084307471E-2</v>
      </c>
      <c r="C654" s="474">
        <f t="shared" si="88"/>
        <v>12.349802027259718</v>
      </c>
      <c r="D654" s="474">
        <f t="shared" si="87"/>
        <v>3.1395463741286608E-3</v>
      </c>
    </row>
    <row r="655" spans="1:4" x14ac:dyDescent="0.25">
      <c r="A655" s="474">
        <v>0.31480128811692493</v>
      </c>
      <c r="B655" s="474">
        <v>1.3854133021738765E-2</v>
      </c>
      <c r="C655" s="474">
        <f t="shared" si="88"/>
        <v>12.393751500666335</v>
      </c>
      <c r="D655" s="474">
        <f t="shared" si="87"/>
        <v>3.1145329930817359E-3</v>
      </c>
    </row>
    <row r="656" spans="1:4" x14ac:dyDescent="0.25">
      <c r="A656" s="474">
        <v>0.31591760474145303</v>
      </c>
      <c r="B656" s="474">
        <v>1.3739424044471548E-2</v>
      </c>
      <c r="C656" s="474">
        <f t="shared" si="88"/>
        <v>12.437700974072953</v>
      </c>
      <c r="D656" s="474">
        <f t="shared" si="87"/>
        <v>3.0887453892135745E-3</v>
      </c>
    </row>
    <row r="657" spans="1:4" x14ac:dyDescent="0.25">
      <c r="A657" s="474">
        <v>0.31703392136598113</v>
      </c>
      <c r="B657" s="474">
        <v>1.3620972071156194E-2</v>
      </c>
      <c r="C657" s="474">
        <f t="shared" si="88"/>
        <v>12.481650447479572</v>
      </c>
      <c r="D657" s="474">
        <f t="shared" si="87"/>
        <v>3.0621163263622633E-3</v>
      </c>
    </row>
    <row r="658" spans="1:4" x14ac:dyDescent="0.25">
      <c r="A658" s="474">
        <v>0.31815023799050923</v>
      </c>
      <c r="B658" s="474">
        <v>1.3498430731320225E-2</v>
      </c>
      <c r="C658" s="474">
        <f t="shared" si="88"/>
        <v>12.52559992088619</v>
      </c>
      <c r="D658" s="474">
        <f t="shared" si="87"/>
        <v>3.034567937348191E-3</v>
      </c>
    </row>
    <row r="659" spans="1:4" x14ac:dyDescent="0.25">
      <c r="A659" s="474">
        <v>0.31926655461503733</v>
      </c>
      <c r="B659" s="474">
        <v>1.337139514666451E-2</v>
      </c>
      <c r="C659" s="474">
        <f t="shared" si="88"/>
        <v>12.569549394292808</v>
      </c>
      <c r="D659" s="474">
        <f t="shared" si="87"/>
        <v>3.0060092019091114E-3</v>
      </c>
    </row>
    <row r="660" spans="1:4" x14ac:dyDescent="0.25">
      <c r="A660" s="474">
        <v>0.32038287123956544</v>
      </c>
      <c r="B660" s="474">
        <v>1.3239387034424779E-2</v>
      </c>
      <c r="C660" s="474">
        <f t="shared" si="88"/>
        <v>12.613498867699427</v>
      </c>
      <c r="D660" s="474">
        <f t="shared" si="87"/>
        <v>2.9763325978026008E-3</v>
      </c>
    </row>
    <row r="661" spans="1:4" x14ac:dyDescent="0.25">
      <c r="A661" s="474">
        <v>0.32149918786409354</v>
      </c>
      <c r="B661" s="474">
        <v>1.3101834541057391E-2</v>
      </c>
      <c r="C661" s="474">
        <f t="shared" si="88"/>
        <v>12.657448341106043</v>
      </c>
      <c r="D661" s="474">
        <f t="shared" si="87"/>
        <v>2.9454095672382806E-3</v>
      </c>
    </row>
    <row r="662" spans="1:4" x14ac:dyDescent="0.25">
      <c r="A662" s="474">
        <v>0.32261550448862164</v>
      </c>
      <c r="B662" s="474">
        <v>1.2958044329734315E-2</v>
      </c>
      <c r="C662" s="474">
        <f t="shared" si="88"/>
        <v>12.701397814512664</v>
      </c>
      <c r="D662" s="474">
        <f t="shared" si="87"/>
        <v>2.9130842418970842E-3</v>
      </c>
    </row>
    <row r="663" spans="1:4" x14ac:dyDescent="0.25">
      <c r="A663" s="474">
        <v>0.32373182111314974</v>
      </c>
      <c r="B663" s="474">
        <v>1.280716193901576E-2</v>
      </c>
      <c r="C663" s="474">
        <f t="shared" si="88"/>
        <v>12.745347287919282</v>
      </c>
      <c r="D663" s="474">
        <f t="shared" si="87"/>
        <v>2.8791645312063745E-3</v>
      </c>
    </row>
    <row r="664" spans="1:4" x14ac:dyDescent="0.25">
      <c r="A664" s="474">
        <v>0.32484813773767784</v>
      </c>
      <c r="B664" s="474">
        <v>1.2648113756195054E-2</v>
      </c>
      <c r="C664" s="474">
        <f t="shared" si="88"/>
        <v>12.789296761325899</v>
      </c>
      <c r="D664" s="474">
        <f t="shared" si="87"/>
        <v>2.8434090774289707E-3</v>
      </c>
    </row>
    <row r="665" spans="1:4" x14ac:dyDescent="0.25">
      <c r="A665" s="474">
        <v>0.32596445436220595</v>
      </c>
      <c r="B665" s="474">
        <v>1.2479518960694654E-2</v>
      </c>
      <c r="C665" s="474">
        <f t="shared" si="88"/>
        <v>12.833246234732517</v>
      </c>
      <c r="D665" s="474">
        <f t="shared" si="87"/>
        <v>2.8055074597511317E-3</v>
      </c>
    </row>
    <row r="666" spans="1:4" x14ac:dyDescent="0.25">
      <c r="A666" s="474">
        <v>0.32708077098673405</v>
      </c>
      <c r="B666" s="474">
        <v>1.22995499186348E-2</v>
      </c>
      <c r="C666" s="474">
        <f t="shared" si="88"/>
        <v>12.877195708139137</v>
      </c>
      <c r="D666" s="474">
        <f t="shared" si="87"/>
        <v>2.7650488097331763E-3</v>
      </c>
    </row>
    <row r="667" spans="1:4" x14ac:dyDescent="0.25">
      <c r="A667" s="474">
        <v>0.32819708761126215</v>
      </c>
      <c r="B667" s="474">
        <v>1.2105698491947443E-2</v>
      </c>
      <c r="C667" s="474">
        <f t="shared" si="88"/>
        <v>12.921145181545754</v>
      </c>
      <c r="D667" s="474">
        <f t="shared" si="87"/>
        <v>2.7214692755085246E-3</v>
      </c>
    </row>
    <row r="668" spans="1:4" x14ac:dyDescent="0.25">
      <c r="A668" s="474">
        <v>0.32931340423579025</v>
      </c>
      <c r="B668" s="474">
        <v>1.1894356721033771E-2</v>
      </c>
      <c r="C668" s="474">
        <f t="shared" si="88"/>
        <v>12.96509465495237</v>
      </c>
      <c r="D668" s="474">
        <f t="shared" si="87"/>
        <v>2.6739577554953913E-3</v>
      </c>
    </row>
    <row r="669" spans="1:4" x14ac:dyDescent="0.25">
      <c r="A669" s="474">
        <v>0.33042972086031835</v>
      </c>
      <c r="B669" s="474">
        <v>1.1659991702992624E-2</v>
      </c>
      <c r="C669" s="474">
        <f t="shared" si="88"/>
        <v>13.009044128358992</v>
      </c>
      <c r="D669" s="474">
        <f t="shared" si="87"/>
        <v>2.6212704036439266E-3</v>
      </c>
    </row>
    <row r="670" spans="1:4" x14ac:dyDescent="0.25">
      <c r="A670" s="474">
        <v>0.33154603748484646</v>
      </c>
      <c r="B670" s="474">
        <v>1.1393297275992314E-2</v>
      </c>
      <c r="C670" s="474">
        <f t="shared" si="88"/>
        <v>13.052993601765609</v>
      </c>
      <c r="D670" s="474">
        <f t="shared" si="87"/>
        <v>2.5613151115545449E-3</v>
      </c>
    </row>
    <row r="671" spans="1:4" x14ac:dyDescent="0.25">
      <c r="A671" s="474">
        <v>0.33266235410937456</v>
      </c>
      <c r="B671" s="474">
        <v>1.1076143339626679E-2</v>
      </c>
      <c r="C671" s="474">
        <f t="shared" si="88"/>
        <v>13.096943075172225</v>
      </c>
      <c r="D671" s="474">
        <f t="shared" si="87"/>
        <v>2.490016070528552E-3</v>
      </c>
    </row>
    <row r="672" spans="1:4" x14ac:dyDescent="0.25">
      <c r="A672" s="474">
        <v>0.33377867073390272</v>
      </c>
      <c r="B672" s="474">
        <v>1.0661765383043609E-2</v>
      </c>
      <c r="C672" s="474">
        <f t="shared" si="88"/>
        <v>13.140892548578845</v>
      </c>
      <c r="D672" s="474">
        <f t="shared" si="87"/>
        <v>2.3968602003374205E-3</v>
      </c>
    </row>
    <row r="673" spans="1:4" x14ac:dyDescent="0.25">
      <c r="A673" s="474">
        <v>0.33489498735843082</v>
      </c>
      <c r="B673" s="474">
        <v>9.6585080951045038E-3</v>
      </c>
      <c r="C673" s="474">
        <f t="shared" si="88"/>
        <v>13.184842021985466</v>
      </c>
      <c r="D673" s="474">
        <f t="shared" si="87"/>
        <v>2.171318990437598E-3</v>
      </c>
    </row>
  </sheetData>
  <mergeCells count="8">
    <mergeCell ref="A262:A301"/>
    <mergeCell ref="B307:G307"/>
    <mergeCell ref="B309:G309"/>
    <mergeCell ref="AT3:AU3"/>
    <mergeCell ref="K43:M43"/>
    <mergeCell ref="N43:P43"/>
    <mergeCell ref="K59:M59"/>
    <mergeCell ref="N59:P59"/>
  </mergeCells>
  <conditionalFormatting sqref="L318:L339">
    <cfRule type="dataBar" priority="2">
      <dataBar>
        <cfvo type="min"/>
        <cfvo type="max"/>
        <color rgb="FF63C384"/>
      </dataBar>
    </cfRule>
  </conditionalFormatting>
  <conditionalFormatting sqref="N326:O326">
    <cfRule type="dataBar" priority="1">
      <dataBar>
        <cfvo type="min"/>
        <cfvo type="max"/>
        <color rgb="FF63C384"/>
      </dataBar>
    </cfRule>
  </conditionalFormatting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S675"/>
  <sheetViews>
    <sheetView zoomScale="70" zoomScaleNormal="70" workbookViewId="0">
      <selection activeCell="K12" sqref="K12"/>
    </sheetView>
  </sheetViews>
  <sheetFormatPr defaultColWidth="10.85546875" defaultRowHeight="15" x14ac:dyDescent="0.25"/>
  <cols>
    <col min="1" max="1" width="26.5703125" customWidth="1"/>
    <col min="2" max="2" width="18.140625" bestFit="1" customWidth="1"/>
    <col min="3" max="3" width="12.85546875" customWidth="1"/>
    <col min="4" max="4" width="14.42578125" bestFit="1" customWidth="1"/>
    <col min="5" max="5" width="15.7109375" customWidth="1"/>
    <col min="6" max="6" width="14.42578125" customWidth="1"/>
    <col min="7" max="7" width="36.7109375" bestFit="1" customWidth="1"/>
    <col min="8" max="8" width="16.7109375" bestFit="1" customWidth="1"/>
    <col min="9" max="9" width="14" customWidth="1"/>
    <col min="10" max="10" width="18.42578125" customWidth="1"/>
    <col min="11" max="11" width="25.28515625" bestFit="1" customWidth="1"/>
    <col min="12" max="12" width="15" bestFit="1" customWidth="1"/>
    <col min="13" max="13" width="13" bestFit="1" customWidth="1"/>
    <col min="14" max="14" width="11.85546875" customWidth="1"/>
    <col min="15" max="15" width="25.7109375" bestFit="1" customWidth="1"/>
    <col min="16" max="16" width="23.28515625" bestFit="1" customWidth="1"/>
    <col min="17" max="17" width="16.28515625" bestFit="1" customWidth="1"/>
    <col min="18" max="18" width="16" bestFit="1" customWidth="1"/>
    <col min="19" max="19" width="18.5703125" customWidth="1"/>
    <col min="20" max="20" width="15.28515625" bestFit="1" customWidth="1"/>
    <col min="21" max="21" width="22.7109375" bestFit="1" customWidth="1"/>
    <col min="22" max="22" width="15.7109375" bestFit="1" customWidth="1"/>
    <col min="23" max="23" width="13.85546875" bestFit="1" customWidth="1"/>
    <col min="24" max="24" width="29.140625" customWidth="1"/>
    <col min="25" max="25" width="21" bestFit="1" customWidth="1"/>
    <col min="26" max="27" width="12.140625" bestFit="1" customWidth="1"/>
    <col min="29" max="29" width="18.42578125" customWidth="1"/>
    <col min="30" max="30" width="23.85546875" bestFit="1" customWidth="1"/>
    <col min="31" max="31" width="24.85546875" bestFit="1" customWidth="1"/>
    <col min="32" max="32" width="17.140625" customWidth="1"/>
    <col min="33" max="33" width="19.140625" bestFit="1" customWidth="1"/>
    <col min="37" max="37" width="13.7109375" bestFit="1" customWidth="1"/>
    <col min="50" max="50" width="12.28515625" bestFit="1" customWidth="1"/>
    <col min="56" max="56" width="41.140625" bestFit="1" customWidth="1"/>
    <col min="57" max="57" width="16" bestFit="1" customWidth="1"/>
    <col min="71" max="71" width="14.42578125" customWidth="1"/>
    <col min="90" max="90" width="16.42578125" customWidth="1"/>
  </cols>
  <sheetData>
    <row r="1" spans="1:23" x14ac:dyDescent="0.25">
      <c r="A1" s="59" t="s">
        <v>2279</v>
      </c>
      <c r="F1" t="s">
        <v>2278</v>
      </c>
      <c r="M1" s="59" t="s">
        <v>2230</v>
      </c>
      <c r="S1" s="59" t="s">
        <v>2008</v>
      </c>
    </row>
    <row r="2" spans="1:23" x14ac:dyDescent="0.25">
      <c r="A2" s="7" t="str">
        <f>IF('Internal Layout'!A1="","",'Internal Layout'!A1)</f>
        <v xml:space="preserve">NAME: </v>
      </c>
      <c r="B2" s="7" t="str">
        <f>IF('Internal Layout'!B1="","",'Internal Layout'!B1)</f>
        <v>Battery</v>
      </c>
      <c r="F2" s="7"/>
      <c r="G2" s="7"/>
      <c r="H2" s="7"/>
      <c r="I2" s="7"/>
      <c r="S2" s="7" t="s">
        <v>1847</v>
      </c>
      <c r="T2" s="7">
        <v>2.54</v>
      </c>
      <c r="U2" s="7" t="s">
        <v>1822</v>
      </c>
      <c r="V2" s="7">
        <v>1</v>
      </c>
      <c r="W2" s="7" t="s">
        <v>701</v>
      </c>
    </row>
    <row r="3" spans="1:23" x14ac:dyDescent="0.25">
      <c r="A3" s="7" t="str">
        <f>IF('Internal Layout'!A2="","",'Internal Layout'!A2)</f>
        <v xml:space="preserve">MASS: </v>
      </c>
      <c r="B3" s="7">
        <f>IF('Internal Layout'!B2="","",'Internal Layout'!B2)</f>
        <v>0.80800000000000005</v>
      </c>
      <c r="F3" s="7"/>
      <c r="G3" s="7" t="str">
        <f>IF('External layout'!A1="","",'External layout'!A1)</f>
        <v>FUSELAGE</v>
      </c>
      <c r="H3" s="7" t="str">
        <f>IF('External layout'!B1="","",'External layout'!B1)</f>
        <v/>
      </c>
      <c r="I3" s="7"/>
      <c r="S3" s="7"/>
      <c r="T3" s="7"/>
      <c r="U3" s="7"/>
      <c r="V3" s="7"/>
      <c r="W3" s="7"/>
    </row>
    <row r="4" spans="1:23" x14ac:dyDescent="0.25">
      <c r="A4" s="7" t="str">
        <f>IF('Internal Layout'!A3="","",'Internal Layout'!A3)</f>
        <v xml:space="preserve">LX: </v>
      </c>
      <c r="B4" s="7">
        <f>IF('Internal Layout'!B3="","",'Internal Layout'!B3)</f>
        <v>0.14730000000000001</v>
      </c>
      <c r="F4" s="7"/>
      <c r="G4" s="7" t="str">
        <f>IF('External layout'!A2="","",'External layout'!A2)</f>
        <v xml:space="preserve">Height: </v>
      </c>
      <c r="H4" s="7">
        <f>IF('External layout'!B2="","",'External layout'!B2)</f>
        <v>0.15240000000000001</v>
      </c>
      <c r="I4" s="7"/>
      <c r="S4" s="7" t="s">
        <v>1847</v>
      </c>
      <c r="T4" s="7">
        <f>T2*12</f>
        <v>30.48</v>
      </c>
      <c r="U4" s="7" t="s">
        <v>1822</v>
      </c>
      <c r="V4" s="7">
        <v>1</v>
      </c>
      <c r="W4" s="7" t="s">
        <v>1999</v>
      </c>
    </row>
    <row r="5" spans="1:23" x14ac:dyDescent="0.25">
      <c r="A5" s="7" t="str">
        <f>IF('Internal Layout'!A4="","",'Internal Layout'!A4)</f>
        <v xml:space="preserve">LY: </v>
      </c>
      <c r="B5" s="7">
        <f>IF('Internal Layout'!B4="","",'Internal Layout'!B4)</f>
        <v>5.4600000000000003E-2</v>
      </c>
      <c r="F5" s="7"/>
      <c r="G5" s="7" t="str">
        <f>IF('External layout'!A3="","",'External layout'!A3)</f>
        <v xml:space="preserve">Width: </v>
      </c>
      <c r="H5" s="7">
        <f>IF('External layout'!B3="","",'External layout'!B3)</f>
        <v>0.12</v>
      </c>
      <c r="I5" s="7"/>
      <c r="S5" s="7"/>
      <c r="T5" s="7"/>
      <c r="U5" s="7"/>
      <c r="V5" s="7"/>
      <c r="W5" s="7"/>
    </row>
    <row r="6" spans="1:23" x14ac:dyDescent="0.25">
      <c r="A6" s="7" t="str">
        <f>IF('Internal Layout'!A5="","",'Internal Layout'!A5)</f>
        <v xml:space="preserve">LZ: </v>
      </c>
      <c r="B6" s="7">
        <f>IF('Internal Layout'!B5="","",'Internal Layout'!B5)</f>
        <v>4.3200000000000002E-2</v>
      </c>
      <c r="F6" s="7"/>
      <c r="G6" s="7" t="str">
        <f>IF('External layout'!A4="","",'External layout'!A4)</f>
        <v xml:space="preserve">L_nose: </v>
      </c>
      <c r="H6" s="7">
        <f>IF('External layout'!B4="","",'External layout'!B4)</f>
        <v>0.223389068442015</v>
      </c>
      <c r="I6" s="7"/>
      <c r="S6" s="7" t="s">
        <v>2067</v>
      </c>
      <c r="T6" s="7">
        <v>1</v>
      </c>
      <c r="U6" s="7" t="s">
        <v>1822</v>
      </c>
      <c r="V6" s="7">
        <v>2.2046199999999998</v>
      </c>
      <c r="W6" s="7" t="s">
        <v>1942</v>
      </c>
    </row>
    <row r="7" spans="1:23" x14ac:dyDescent="0.25">
      <c r="A7" s="7" t="str">
        <f>IF('Internal Layout'!A6="","",'Internal Layout'!A6)</f>
        <v xml:space="preserve">X: </v>
      </c>
      <c r="B7" s="7">
        <f>IF('Internal Layout'!B6="","",'Internal Layout'!B6)</f>
        <v>0.297039068442015</v>
      </c>
      <c r="F7" s="7"/>
      <c r="G7" s="7" t="str">
        <f>IF('External layout'!A5="","",'External layout'!A5)</f>
        <v xml:space="preserve">L_body: </v>
      </c>
      <c r="H7" s="7">
        <f>IF('External layout'!B5="","",'External layout'!B5)</f>
        <v>0.72</v>
      </c>
      <c r="I7" s="7"/>
      <c r="S7" s="7"/>
      <c r="T7" s="7"/>
      <c r="U7" s="7"/>
      <c r="V7" s="7"/>
      <c r="W7" s="7"/>
    </row>
    <row r="8" spans="1:23" x14ac:dyDescent="0.25">
      <c r="A8" s="7" t="str">
        <f>IF('Internal Layout'!A7="","",'Internal Layout'!A7)</f>
        <v xml:space="preserve">Y: </v>
      </c>
      <c r="B8" s="7">
        <f>IF('Internal Layout'!B7="","",'Internal Layout'!B7)</f>
        <v>0</v>
      </c>
      <c r="F8" s="7"/>
      <c r="G8" s="7" t="str">
        <f>IF('External layout'!A6="","",'External layout'!A6)</f>
        <v xml:space="preserve">L_rear: </v>
      </c>
      <c r="H8" s="7">
        <f>IF('External layout'!B6="","",'External layout'!B6)</f>
        <v>0.55579956885405424</v>
      </c>
      <c r="I8" s="7"/>
      <c r="S8" s="7" t="s">
        <v>2069</v>
      </c>
      <c r="T8" s="7">
        <v>1</v>
      </c>
      <c r="U8" s="7" t="s">
        <v>1822</v>
      </c>
      <c r="V8" s="7">
        <v>0.22480894244300001</v>
      </c>
      <c r="W8" s="7" t="s">
        <v>1942</v>
      </c>
    </row>
    <row r="9" spans="1:23" x14ac:dyDescent="0.25">
      <c r="A9" s="7" t="str">
        <f>IF('Internal Layout'!A8="","",'Internal Layout'!A8)</f>
        <v xml:space="preserve">Z: </v>
      </c>
      <c r="B9" s="7">
        <f>IF('Internal Layout'!B8="","",'Internal Layout'!B8)</f>
        <v>2.1600000000000001E-2</v>
      </c>
      <c r="F9" s="7"/>
      <c r="G9" s="7" t="str">
        <f>IF('External layout'!A7="","",'External layout'!A7)</f>
        <v xml:space="preserve">L_total: </v>
      </c>
      <c r="H9" s="7">
        <f>IF('External layout'!B7="","",'External layout'!B7)</f>
        <v>1.4991886372960692</v>
      </c>
      <c r="I9" s="7"/>
    </row>
    <row r="10" spans="1:23" x14ac:dyDescent="0.25">
      <c r="A10" s="7" t="str">
        <f>IF('Internal Layout'!A9="","",'Internal Layout'!A9)</f>
        <v/>
      </c>
      <c r="B10" s="7" t="str">
        <f>IF('Internal Layout'!B9="","",'Internal Layout'!B9)</f>
        <v/>
      </c>
      <c r="F10" s="7"/>
      <c r="G10" s="7" t="str">
        <f>IF('External layout'!A8="","",'External layout'!A8)</f>
        <v xml:space="preserve">Angle: </v>
      </c>
      <c r="H10" s="7">
        <f>IF('External layout'!B8="","",'External layout'!B8)</f>
        <v>15</v>
      </c>
      <c r="I10" s="7"/>
    </row>
    <row r="11" spans="1:23" x14ac:dyDescent="0.25">
      <c r="A11" s="7" t="str">
        <f>IF('Internal Layout'!A10="","",'Internal Layout'!A10)</f>
        <v/>
      </c>
      <c r="B11" s="7" t="str">
        <f>IF('Internal Layout'!B10="","",'Internal Layout'!B10)</f>
        <v/>
      </c>
      <c r="F11" s="7"/>
      <c r="G11" s="7" t="str">
        <f>IF('External layout'!A9="","",'External layout'!A9)</f>
        <v/>
      </c>
      <c r="H11" s="7" t="str">
        <f>IF('External layout'!B9="","",'External layout'!B9)</f>
        <v/>
      </c>
      <c r="I11" s="7"/>
    </row>
    <row r="12" spans="1:23" x14ac:dyDescent="0.25">
      <c r="A12" s="7" t="str">
        <f>IF('Internal Layout'!A11="","",'Internal Layout'!A11)</f>
        <v xml:space="preserve">NAME: </v>
      </c>
      <c r="B12" s="7" t="str">
        <f>IF('Internal Layout'!B11="","",'Internal Layout'!B11)</f>
        <v>Camera+Gimbal_1</v>
      </c>
      <c r="F12" s="7"/>
      <c r="G12" s="7" t="str">
        <f>IF('External layout'!A10="","",'External layout'!A10)</f>
        <v/>
      </c>
      <c r="H12" s="7" t="str">
        <f>IF('External layout'!B10="","",'External layout'!B10)</f>
        <v/>
      </c>
      <c r="I12" s="7"/>
    </row>
    <row r="13" spans="1:23" x14ac:dyDescent="0.25">
      <c r="A13" s="7" t="str">
        <f>IF('Internal Layout'!A12="","",'Internal Layout'!A12)</f>
        <v xml:space="preserve">MASS: </v>
      </c>
      <c r="B13" s="7">
        <f>IF('Internal Layout'!B12="","",'Internal Layout'!B12)</f>
        <v>0.29499999999999998</v>
      </c>
      <c r="F13" s="7"/>
      <c r="G13" s="7" t="str">
        <f>IF('External layout'!A11="","",'External layout'!A11)</f>
        <v>WING</v>
      </c>
      <c r="H13" s="7" t="str">
        <f>IF('External layout'!B11="","",'External layout'!B11)</f>
        <v/>
      </c>
      <c r="I13" s="7"/>
    </row>
    <row r="14" spans="1:23" x14ac:dyDescent="0.25">
      <c r="A14" s="7" t="str">
        <f>IF('Internal Layout'!A13="","",'Internal Layout'!A13)</f>
        <v xml:space="preserve">LX: </v>
      </c>
      <c r="B14" s="7">
        <f>IF('Internal Layout'!B13="","",'Internal Layout'!B13)</f>
        <v>0.22</v>
      </c>
      <c r="F14" s="7"/>
      <c r="G14" s="7" t="str">
        <f>IF('External layout'!A12="","",'External layout'!A12)</f>
        <v xml:space="preserve">x_LE: </v>
      </c>
      <c r="H14" s="7">
        <f>IF('External layout'!B12="","",'External layout'!B12)</f>
        <v>0.43409086391783164</v>
      </c>
      <c r="I14" s="7"/>
    </row>
    <row r="15" spans="1:23" x14ac:dyDescent="0.25">
      <c r="A15" s="7" t="str">
        <f>IF('Internal Layout'!A14="","",'Internal Layout'!A14)</f>
        <v xml:space="preserve">LY: </v>
      </c>
      <c r="B15" s="7">
        <f>IF('Internal Layout'!B14="","",'Internal Layout'!B14)</f>
        <v>9.5000000000000001E-2</v>
      </c>
      <c r="F15" s="7"/>
      <c r="G15" s="7" t="str">
        <f>IF('External layout'!A13="","",'External layout'!A13)</f>
        <v xml:space="preserve">x_AC: </v>
      </c>
      <c r="H15" s="7">
        <f>IF('External layout'!B13="","",'External layout'!B13)</f>
        <v>0.50198239169560943</v>
      </c>
      <c r="I15" s="7"/>
    </row>
    <row r="16" spans="1:23" x14ac:dyDescent="0.25">
      <c r="A16" s="7" t="str">
        <f>IF('Internal Layout'!A15="","",'Internal Layout'!A15)</f>
        <v xml:space="preserve">LZ: </v>
      </c>
      <c r="B16" s="7">
        <f>IF('Internal Layout'!B15="","",'Internal Layout'!B15)</f>
        <v>9.5000000000000001E-2</v>
      </c>
      <c r="F16" s="7"/>
      <c r="G16" s="7" t="str">
        <f>IF('External layout'!A14="","",'External layout'!A14)</f>
        <v xml:space="preserve">Chord root: </v>
      </c>
      <c r="H16" s="7">
        <f>IF('External layout'!B14="","",'External layout'!B14)</f>
        <v>0.27156611111111101</v>
      </c>
      <c r="I16" s="7"/>
    </row>
    <row r="17" spans="1:9" x14ac:dyDescent="0.25">
      <c r="A17" s="7" t="str">
        <f>IF('Internal Layout'!A16="","",'Internal Layout'!A16)</f>
        <v xml:space="preserve">X: </v>
      </c>
      <c r="B17" s="7">
        <f>IF('Internal Layout'!B16="","",'Internal Layout'!B16)</f>
        <v>0.463389068442015</v>
      </c>
      <c r="F17" s="7"/>
      <c r="G17" s="7" t="str">
        <f>IF('External layout'!A15="","",'External layout'!A15)</f>
        <v xml:space="preserve">Span: </v>
      </c>
      <c r="H17" s="7">
        <f>IF('External layout'!B15="","",'External layout'!B15)</f>
        <v>1.9009627777777778</v>
      </c>
      <c r="I17" s="7" t="str">
        <f>IF(Wing!I17="","",Wing!I17)</f>
        <v/>
      </c>
    </row>
    <row r="18" spans="1:9" x14ac:dyDescent="0.25">
      <c r="A18" s="7" t="str">
        <f>IF('Internal Layout'!A17="","",'Internal Layout'!A17)</f>
        <v xml:space="preserve">Y: </v>
      </c>
      <c r="B18" s="7">
        <f>IF('Internal Layout'!B17="","",'Internal Layout'!B17)</f>
        <v>0</v>
      </c>
      <c r="F18" s="7"/>
      <c r="G18" s="7" t="str">
        <f>IF('External layout'!A16="","",'External layout'!A16)</f>
        <v xml:space="preserve">Airfoil: </v>
      </c>
      <c r="H18" s="7" t="str">
        <f>IF('External layout'!B16="","",'External layout'!B16)</f>
        <v>SD7062</v>
      </c>
      <c r="I18" s="7" t="str">
        <f>IF(Wing!I18="","",Wing!I18)</f>
        <v/>
      </c>
    </row>
    <row r="19" spans="1:9" x14ac:dyDescent="0.25">
      <c r="A19" s="7" t="str">
        <f>IF('Internal Layout'!A18="","",'Internal Layout'!A18)</f>
        <v xml:space="preserve">Z: </v>
      </c>
      <c r="B19" s="7">
        <f>IF('Internal Layout'!B18="","",'Internal Layout'!B18)</f>
        <v>0</v>
      </c>
      <c r="F19" s="7"/>
      <c r="G19" s="7" t="str">
        <f>IF('External layout'!A17="","",'External layout'!A17)</f>
        <v xml:space="preserve">Aileron_span_start: </v>
      </c>
      <c r="H19" s="7">
        <f>IF('External layout'!B17="","",'External layout'!B17)</f>
        <v>0.56917017319777063</v>
      </c>
      <c r="I19" s="7" t="str">
        <f>IF(Wing!I19="","",Wing!I19)</f>
        <v/>
      </c>
    </row>
    <row r="20" spans="1:9" x14ac:dyDescent="0.25">
      <c r="A20" s="7" t="str">
        <f>IF('Internal Layout'!A19="","",'Internal Layout'!A19)</f>
        <v/>
      </c>
      <c r="B20" s="7" t="str">
        <f>IF('Internal Layout'!B19="","",'Internal Layout'!B19)</f>
        <v/>
      </c>
      <c r="F20" s="7"/>
      <c r="G20" s="7" t="str">
        <f>IF('External layout'!A18="","",'External layout'!A18)</f>
        <v xml:space="preserve">Aileron_span_end: </v>
      </c>
      <c r="H20" s="7">
        <f>IF('External layout'!B18="","",'External layout'!B18)</f>
        <v>0.90295731944444424</v>
      </c>
      <c r="I20" s="7" t="str">
        <f>IF(Wing!I20="","",Wing!I20)</f>
        <v/>
      </c>
    </row>
    <row r="21" spans="1:9" x14ac:dyDescent="0.25">
      <c r="A21" s="7" t="str">
        <f>IF('Internal Layout'!A20="","",'Internal Layout'!A20)</f>
        <v/>
      </c>
      <c r="B21" s="7" t="str">
        <f>IF('Internal Layout'!B20="","",'Internal Layout'!B20)</f>
        <v/>
      </c>
      <c r="F21" s="7"/>
      <c r="G21" s="7" t="str">
        <f>IF('External layout'!A19="","",'External layout'!A19)</f>
        <v xml:space="preserve">Aileron_chord_ratio: </v>
      </c>
      <c r="H21" s="7">
        <f>IF('External layout'!B19="","",'External layout'!B19)</f>
        <v>0.25</v>
      </c>
      <c r="I21" s="7" t="str">
        <f>IF(Wing!I21="","",Wing!I21)</f>
        <v/>
      </c>
    </row>
    <row r="22" spans="1:9" x14ac:dyDescent="0.25">
      <c r="A22" s="7" t="str">
        <f>IF('Internal Layout'!A21="","",'Internal Layout'!A21)</f>
        <v xml:space="preserve">NAME: </v>
      </c>
      <c r="B22" s="7" t="str">
        <f>IF('Internal Layout'!B21="","",'Internal Layout'!B21)</f>
        <v>Camera+Gimbal_2</v>
      </c>
      <c r="F22" s="7"/>
      <c r="G22" s="7" t="str">
        <f>IF('External layout'!A20="","",'External layout'!A20)</f>
        <v xml:space="preserve">Aileron_angle_max: </v>
      </c>
      <c r="H22" s="7">
        <f>IF('External layout'!B20="","",'External layout'!B20)</f>
        <v>25</v>
      </c>
      <c r="I22" s="7" t="str">
        <f>IF(Wing!I22="","",Wing!I22)</f>
        <v/>
      </c>
    </row>
    <row r="23" spans="1:9" x14ac:dyDescent="0.25">
      <c r="A23" s="7" t="str">
        <f>IF('Internal Layout'!A22="","",'Internal Layout'!A22)</f>
        <v xml:space="preserve">MASS: </v>
      </c>
      <c r="B23" s="7">
        <f>IF('Internal Layout'!B22="","",'Internal Layout'!B22)</f>
        <v>0.29499999999999998</v>
      </c>
      <c r="F23" s="7"/>
      <c r="G23" s="7" t="str">
        <f>IF('External layout'!A21="","",'External layout'!A21)</f>
        <v xml:space="preserve">Aileron_angle_min: </v>
      </c>
      <c r="H23" s="7">
        <f>IF('External layout'!B21="","",'External layout'!B21)</f>
        <v>-25</v>
      </c>
      <c r="I23" s="7" t="str">
        <f>IF(Wing!I23="","",Wing!I23)</f>
        <v/>
      </c>
    </row>
    <row r="24" spans="1:9" x14ac:dyDescent="0.25">
      <c r="A24" s="7" t="str">
        <f>IF('Internal Layout'!A23="","",'Internal Layout'!A23)</f>
        <v xml:space="preserve">LX: </v>
      </c>
      <c r="B24" s="7">
        <f>IF('Internal Layout'!B23="","",'Internal Layout'!B23)</f>
        <v>0.22</v>
      </c>
      <c r="F24" s="7"/>
      <c r="G24" s="7" t="str">
        <f>IF('External layout'!A22="","",'External layout'!A22)</f>
        <v/>
      </c>
      <c r="H24" s="7" t="str">
        <f>IF('External layout'!B22="","",'External layout'!B22)</f>
        <v/>
      </c>
      <c r="I24" s="7" t="str">
        <f>IF(Wing!I24="","",Wing!I24)</f>
        <v/>
      </c>
    </row>
    <row r="25" spans="1:9" x14ac:dyDescent="0.25">
      <c r="A25" s="7" t="str">
        <f>IF('Internal Layout'!A24="","",'Internal Layout'!A24)</f>
        <v xml:space="preserve">LY: </v>
      </c>
      <c r="B25" s="7">
        <f>IF('Internal Layout'!B24="","",'Internal Layout'!B24)</f>
        <v>9.5000000000000001E-2</v>
      </c>
      <c r="F25" s="7"/>
      <c r="G25" s="7" t="str">
        <f>IF('External layout'!A23="","",'External layout'!A23)</f>
        <v/>
      </c>
      <c r="H25" s="7" t="str">
        <f>IF('External layout'!B23="","",'External layout'!B23)</f>
        <v/>
      </c>
      <c r="I25" s="7" t="str">
        <f>IF(Wing!I25="","",Wing!I25)</f>
        <v/>
      </c>
    </row>
    <row r="26" spans="1:9" x14ac:dyDescent="0.25">
      <c r="A26" s="7" t="str">
        <f>IF('Internal Layout'!A25="","",'Internal Layout'!A25)</f>
        <v xml:space="preserve">LZ: </v>
      </c>
      <c r="B26" s="7">
        <f>IF('Internal Layout'!B25="","",'Internal Layout'!B25)</f>
        <v>9.5000000000000001E-2</v>
      </c>
      <c r="F26" s="7"/>
      <c r="G26" s="7" t="str">
        <f>IF('External layout'!A24="","",'External layout'!A24)</f>
        <v>HSTAB</v>
      </c>
      <c r="H26" s="7" t="str">
        <f>IF('External layout'!B24="","",'External layout'!B24)</f>
        <v/>
      </c>
      <c r="I26" s="7" t="str">
        <f>IF(Wing!I26="","",Wing!I26)</f>
        <v/>
      </c>
    </row>
    <row r="27" spans="1:9" x14ac:dyDescent="0.25">
      <c r="A27" s="7" t="str">
        <f>IF('Internal Layout'!A26="","",'Internal Layout'!A26)</f>
        <v xml:space="preserve">X: </v>
      </c>
      <c r="B27" s="7">
        <f>IF('Internal Layout'!B26="","",'Internal Layout'!B26)</f>
        <v>0.70338906844201499</v>
      </c>
      <c r="F27" s="7"/>
      <c r="G27" s="7" t="str">
        <f>IF('External layout'!A25="","",'External layout'!A25)</f>
        <v xml:space="preserve">x_LE: </v>
      </c>
      <c r="H27" s="7">
        <f>IF('External layout'!B25="","",'External layout'!B25)</f>
        <v>1.2128210156327217</v>
      </c>
      <c r="I27" s="7" t="str">
        <f>IF(Wing!I27="","",Wing!I27)</f>
        <v/>
      </c>
    </row>
    <row r="28" spans="1:9" x14ac:dyDescent="0.25">
      <c r="A28" s="7" t="str">
        <f>IF('Internal Layout'!A27="","",'Internal Layout'!A27)</f>
        <v xml:space="preserve">Y: </v>
      </c>
      <c r="B28" s="7">
        <f>IF('Internal Layout'!B27="","",'Internal Layout'!B27)</f>
        <v>0</v>
      </c>
      <c r="F28" s="7"/>
      <c r="G28" s="7" t="str">
        <f>IF('External layout'!A26="","",'External layout'!A26)</f>
        <v xml:space="preserve">x_AC: </v>
      </c>
      <c r="H28" s="7">
        <f>IF('External layout'!B26="","",'External layout'!B26)</f>
        <v>1.248702621421125</v>
      </c>
      <c r="I28" s="7" t="str">
        <f>IF(Wing!I28="","",Wing!I28)</f>
        <v/>
      </c>
    </row>
    <row r="29" spans="1:9" x14ac:dyDescent="0.25">
      <c r="A29" s="7" t="str">
        <f>IF('Internal Layout'!A28="","",'Internal Layout'!A28)</f>
        <v xml:space="preserve">Z: </v>
      </c>
      <c r="B29" s="7">
        <f>IF('Internal Layout'!B28="","",'Internal Layout'!B28)</f>
        <v>0</v>
      </c>
      <c r="F29" s="7"/>
      <c r="G29" s="7" t="str">
        <f>IF('External layout'!A27="","",'External layout'!A27)</f>
        <v xml:space="preserve">z_AC: </v>
      </c>
      <c r="H29" s="7">
        <f>IF('External layout'!B27="","",'External layout'!B27)</f>
        <v>2.3800000000000002E-2</v>
      </c>
      <c r="I29" s="7" t="str">
        <f>IF(Wing!I29="","",Wing!I29)</f>
        <v/>
      </c>
    </row>
    <row r="30" spans="1:9" x14ac:dyDescent="0.25">
      <c r="A30" s="7" t="str">
        <f>IF('Internal Layout'!A29="","",'Internal Layout'!A29)</f>
        <v/>
      </c>
      <c r="B30" s="7" t="str">
        <f>IF('Internal Layout'!B29="","",'Internal Layout'!B29)</f>
        <v/>
      </c>
      <c r="F30" s="7"/>
      <c r="G30" s="7" t="str">
        <f>IF('External layout'!A28="","",'External layout'!A28)</f>
        <v xml:space="preserve">Chord root: </v>
      </c>
      <c r="H30" s="7">
        <f>IF('External layout'!B28="","",'External layout'!B28)</f>
        <v>0.14352642315361319</v>
      </c>
      <c r="I30" s="7" t="str">
        <f>IF(Wing!I30="","",Wing!I30)</f>
        <v/>
      </c>
    </row>
    <row r="31" spans="1:9" x14ac:dyDescent="0.25">
      <c r="A31" s="7" t="str">
        <f>IF('Internal Layout'!A30="","",'Internal Layout'!A30)</f>
        <v/>
      </c>
      <c r="B31" s="7" t="str">
        <f>IF('Internal Layout'!B30="","",'Internal Layout'!B30)</f>
        <v/>
      </c>
      <c r="F31" s="7"/>
      <c r="G31" s="7" t="str">
        <f>IF('External layout'!A29="","",'External layout'!A29)</f>
        <v xml:space="preserve">Span: </v>
      </c>
      <c r="H31" s="7">
        <f>IF('External layout'!B29="","",'External layout'!B29)</f>
        <v>0.66978997471686152</v>
      </c>
      <c r="I31" s="7" t="str">
        <f>IF(Wing!I31="","",Wing!I31)</f>
        <v/>
      </c>
    </row>
    <row r="32" spans="1:9" x14ac:dyDescent="0.25">
      <c r="A32" s="7" t="str">
        <f>IF('Internal Layout'!A31="","",'Internal Layout'!A31)</f>
        <v xml:space="preserve">NAME: </v>
      </c>
      <c r="B32" s="7" t="str">
        <f>IF('Internal Layout'!B31="","",'Internal Layout'!B31)</f>
        <v>Ardupilot</v>
      </c>
      <c r="F32" s="7"/>
      <c r="G32" s="7" t="str">
        <f>IF('External layout'!A30="","",'External layout'!A30)</f>
        <v xml:space="preserve">Airfoil: </v>
      </c>
      <c r="H32" s="7" t="str">
        <f>IF('External layout'!B30="","",'External layout'!B30)</f>
        <v>NACA0006</v>
      </c>
      <c r="I32" s="7" t="str">
        <f>IF(Wing!I32="","",Wing!I32)</f>
        <v/>
      </c>
    </row>
    <row r="33" spans="1:13" x14ac:dyDescent="0.25">
      <c r="A33" s="7" t="str">
        <f>IF('Internal Layout'!A32="","",'Internal Layout'!A32)</f>
        <v xml:space="preserve">MASS: </v>
      </c>
      <c r="B33" s="7">
        <f>IF('Internal Layout'!B32="","",'Internal Layout'!B32)</f>
        <v>2.8000000000000001E-2</v>
      </c>
      <c r="F33" s="7"/>
      <c r="G33" s="7" t="str">
        <f>IF('External layout'!A31="","",'External layout'!A31)</f>
        <v xml:space="preserve">Incidence: </v>
      </c>
      <c r="H33" s="7">
        <f>IF('External layout'!B31="","",'External layout'!B31)</f>
        <v>-0.58393031865523626</v>
      </c>
      <c r="I33" s="7" t="str">
        <f>IF(Wing!I33="","",Wing!I33)</f>
        <v/>
      </c>
    </row>
    <row r="34" spans="1:13" x14ac:dyDescent="0.25">
      <c r="A34" s="7" t="str">
        <f>IF('Internal Layout'!A33="","",'Internal Layout'!A33)</f>
        <v xml:space="preserve">LX: </v>
      </c>
      <c r="B34" s="7">
        <f>IF('Internal Layout'!B33="","",'Internal Layout'!B33)</f>
        <v>7.0000000000000007E-2</v>
      </c>
      <c r="F34" s="7"/>
      <c r="G34" s="7" t="str">
        <f>IF('External layout'!A32="","",'External layout'!A32)</f>
        <v xml:space="preserve">Elevator_span_start: </v>
      </c>
      <c r="H34" s="7">
        <f>IF('External layout'!B32="","",'External layout'!B32)</f>
        <v>0</v>
      </c>
      <c r="I34" s="7" t="str">
        <f>IF(Wing!I34="","",Wing!I34)</f>
        <v/>
      </c>
    </row>
    <row r="35" spans="1:13" x14ac:dyDescent="0.25">
      <c r="A35" s="7" t="str">
        <f>IF('Internal Layout'!A34="","",'Internal Layout'!A34)</f>
        <v xml:space="preserve">LY: </v>
      </c>
      <c r="B35" s="7">
        <f>IF('Internal Layout'!B34="","",'Internal Layout'!B34)</f>
        <v>4.4999999999999998E-2</v>
      </c>
      <c r="F35" s="7"/>
      <c r="G35" s="7" t="str">
        <f>IF('External layout'!A33="","",'External layout'!A33)</f>
        <v xml:space="preserve">Elevator_span_end: </v>
      </c>
      <c r="H35" s="7">
        <f>IF('External layout'!B33="","",'External layout'!B33)</f>
        <v>1</v>
      </c>
      <c r="I35" s="7" t="str">
        <f>IF(Wing!I35="","",Wing!I35)</f>
        <v/>
      </c>
      <c r="M35" s="59" t="s">
        <v>2007</v>
      </c>
    </row>
    <row r="36" spans="1:13" x14ac:dyDescent="0.25">
      <c r="A36" s="7" t="str">
        <f>IF('Internal Layout'!A35="","",'Internal Layout'!A35)</f>
        <v xml:space="preserve">LZ: </v>
      </c>
      <c r="B36" s="7">
        <f>IF('Internal Layout'!B35="","",'Internal Layout'!B35)</f>
        <v>1.4999999999999999E-2</v>
      </c>
      <c r="F36" s="7"/>
      <c r="G36" s="7" t="str">
        <f>IF('External layout'!A34="","",'External layout'!A34)</f>
        <v xml:space="preserve">Elevator_choord_ratio: </v>
      </c>
      <c r="H36" s="7">
        <f>IF('External layout'!B34="","",'External layout'!B34)</f>
        <v>0.20776646122007825</v>
      </c>
      <c r="I36" s="7" t="str">
        <f>IF(Wing!I36="","",Wing!I36)</f>
        <v/>
      </c>
    </row>
    <row r="37" spans="1:13" x14ac:dyDescent="0.25">
      <c r="A37" s="7" t="str">
        <f>IF('Internal Layout'!A36="","",'Internal Layout'!A36)</f>
        <v xml:space="preserve">X: </v>
      </c>
      <c r="B37" s="7">
        <f>IF('Internal Layout'!B36="","",'Internal Layout'!B36)</f>
        <v>0.90838906844201495</v>
      </c>
      <c r="F37" s="7"/>
      <c r="G37" s="7" t="str">
        <f>IF('External layout'!A35="","",'External layout'!A35)</f>
        <v xml:space="preserve">Elevator_angle_maxup: </v>
      </c>
      <c r="H37" s="7">
        <f>IF('External layout'!B35="","",'External layout'!B35)</f>
        <v>-25</v>
      </c>
      <c r="I37" s="7" t="str">
        <f>IF(Wing!I37="","",Wing!I37)</f>
        <v/>
      </c>
      <c r="M37" t="s">
        <v>2005</v>
      </c>
    </row>
    <row r="38" spans="1:13" x14ac:dyDescent="0.25">
      <c r="A38" s="7" t="str">
        <f>IF('Internal Layout'!A37="","",'Internal Layout'!A37)</f>
        <v xml:space="preserve">Y: </v>
      </c>
      <c r="B38" s="7">
        <f>IF('Internal Layout'!B37="","",'Internal Layout'!B37)</f>
        <v>0</v>
      </c>
      <c r="F38" s="7"/>
      <c r="G38" s="7" t="str">
        <f>IF('External layout'!A36="","",'External layout'!A36)</f>
        <v xml:space="preserve">Elevator_angle_maxdown: </v>
      </c>
      <c r="H38" s="7">
        <f>IF('External layout'!B36="","",'External layout'!B36)</f>
        <v>2</v>
      </c>
      <c r="I38" s="7" t="str">
        <f>IF(Wing!I38="","",Wing!I38)</f>
        <v/>
      </c>
      <c r="M38" t="s">
        <v>2280</v>
      </c>
    </row>
    <row r="39" spans="1:13" x14ac:dyDescent="0.25">
      <c r="A39" s="7" t="str">
        <f>IF('Internal Layout'!A38="","",'Internal Layout'!A38)</f>
        <v xml:space="preserve">Z: </v>
      </c>
      <c r="B39" s="7">
        <f>IF('Internal Layout'!B38="","",'Internal Layout'!B38)</f>
        <v>7.4999999999999997E-3</v>
      </c>
      <c r="F39" s="7"/>
      <c r="G39" s="7" t="str">
        <f>IF('External layout'!A37="","",'External layout'!A37)</f>
        <v/>
      </c>
      <c r="H39" s="7" t="str">
        <f>IF('External layout'!B37="","",'External layout'!B37)</f>
        <v/>
      </c>
      <c r="I39" s="7" t="str">
        <f>IF(Wing!I39="","",Wing!I39)</f>
        <v/>
      </c>
      <c r="M39" t="s">
        <v>2281</v>
      </c>
    </row>
    <row r="40" spans="1:13" x14ac:dyDescent="0.25">
      <c r="A40" s="7" t="str">
        <f>IF('Internal Layout'!A39="","",'Internal Layout'!A39)</f>
        <v/>
      </c>
      <c r="B40" s="7" t="str">
        <f>IF('Internal Layout'!B39="","",'Internal Layout'!B39)</f>
        <v/>
      </c>
      <c r="F40" s="7"/>
      <c r="G40" s="7" t="str">
        <f>IF('External layout'!A38="","",'External layout'!A38)</f>
        <v/>
      </c>
      <c r="H40" s="7" t="str">
        <f>IF('External layout'!B38="","",'External layout'!B38)</f>
        <v/>
      </c>
      <c r="I40" s="7" t="str">
        <f>IF(Wing!I40="","",Wing!I40)</f>
        <v/>
      </c>
    </row>
    <row r="41" spans="1:13" x14ac:dyDescent="0.25">
      <c r="A41" s="7" t="str">
        <f>IF('Internal Layout'!A40="","",'Internal Layout'!A40)</f>
        <v/>
      </c>
      <c r="B41" s="7" t="str">
        <f>IF('Internal Layout'!B40="","",'Internal Layout'!B40)</f>
        <v/>
      </c>
      <c r="F41" s="7"/>
      <c r="G41" s="7" t="str">
        <f>IF('External layout'!A39="","",'External layout'!A39)</f>
        <v>VSTAB</v>
      </c>
      <c r="H41" s="7" t="str">
        <f>IF('External layout'!B39="","",'External layout'!B39)</f>
        <v/>
      </c>
      <c r="I41" s="7" t="str">
        <f>IF(Wing!I41="","",Wing!I41)</f>
        <v/>
      </c>
    </row>
    <row r="42" spans="1:13" x14ac:dyDescent="0.25">
      <c r="A42" s="7" t="str">
        <f>IF('Internal Layout'!A41="","",'Internal Layout'!A41)</f>
        <v xml:space="preserve">NAME: </v>
      </c>
      <c r="B42" s="7" t="str">
        <f>IF('Internal Layout'!B41="","",'Internal Layout'!B41)</f>
        <v>Receiver</v>
      </c>
      <c r="F42" s="7"/>
      <c r="G42" s="7" t="str">
        <f>IF('External layout'!A40="","",'External layout'!A40)</f>
        <v xml:space="preserve">x_LE: </v>
      </c>
      <c r="H42" s="7">
        <f>IF('External layout'!B40="","",'External layout'!B40)</f>
        <v>1.2112602235682557</v>
      </c>
      <c r="I42" s="7" t="str">
        <f>IF(Wing!I42="","",Wing!I42)</f>
        <v/>
      </c>
    </row>
    <row r="43" spans="1:13" x14ac:dyDescent="0.25">
      <c r="A43" s="7" t="str">
        <f>IF('Internal Layout'!A42="","",'Internal Layout'!A42)</f>
        <v xml:space="preserve">MASS: </v>
      </c>
      <c r="B43" s="7">
        <f>IF('Internal Layout'!B42="","",'Internal Layout'!B42)</f>
        <v>4.4000000000000003E-3</v>
      </c>
      <c r="F43" s="7"/>
      <c r="G43" s="7" t="str">
        <f>IF('External layout'!A41="","",'External layout'!A41)</f>
        <v xml:space="preserve">x_AC: </v>
      </c>
      <c r="H43" s="7">
        <f>IF('External layout'!B41="","",'External layout'!B41)</f>
        <v>1.248702621421125</v>
      </c>
      <c r="I43" s="7" t="str">
        <f>IF(Wing!I43="","",Wing!I43)</f>
        <v/>
      </c>
    </row>
    <row r="44" spans="1:13" x14ac:dyDescent="0.25">
      <c r="A44" s="7" t="str">
        <f>IF('Internal Layout'!A43="","",'Internal Layout'!A43)</f>
        <v xml:space="preserve">LX: </v>
      </c>
      <c r="B44" s="7">
        <f>IF('Internal Layout'!B43="","",'Internal Layout'!B43)</f>
        <v>0.04</v>
      </c>
      <c r="F44" s="7"/>
      <c r="G44" s="7" t="str">
        <f>IF('External layout'!A42="","",'External layout'!A42)</f>
        <v xml:space="preserve">z_AC: </v>
      </c>
      <c r="H44" s="7">
        <f>IF('External layout'!B42="","",'External layout'!B42)</f>
        <v>2.3800000000000002E-2</v>
      </c>
      <c r="I44" s="7" t="str">
        <f>IF(Wing!I44="","",Wing!I44)</f>
        <v/>
      </c>
    </row>
    <row r="45" spans="1:13" x14ac:dyDescent="0.25">
      <c r="A45" s="7" t="str">
        <f>IF('Internal Layout'!A44="","",'Internal Layout'!A44)</f>
        <v xml:space="preserve">LY: </v>
      </c>
      <c r="B45" s="7">
        <f>IF('Internal Layout'!B44="","",'Internal Layout'!B44)</f>
        <v>1.9E-2</v>
      </c>
      <c r="F45" s="7"/>
      <c r="G45" s="7" t="str">
        <f>IF('External layout'!A43="","",'External layout'!A43)</f>
        <v xml:space="preserve">Chord root: </v>
      </c>
      <c r="H45" s="7">
        <f>IF('External layout'!B43="","",'External layout'!B43)</f>
        <v>0.14976959141147678</v>
      </c>
      <c r="I45" s="7" t="str">
        <f>IF(Wing!I45="","",Wing!I45)</f>
        <v/>
      </c>
    </row>
    <row r="46" spans="1:13" x14ac:dyDescent="0.25">
      <c r="A46" s="7" t="str">
        <f>IF('Internal Layout'!A45="","",'Internal Layout'!A45)</f>
        <v xml:space="preserve">LZ: </v>
      </c>
      <c r="B46" s="7">
        <f>IF('Internal Layout'!B45="","",'Internal Layout'!B45)</f>
        <v>9.0000000000000011E-3</v>
      </c>
      <c r="F46" s="7"/>
      <c r="G46" s="7" t="str">
        <f>IF('External layout'!A44="","",'External layout'!A44)</f>
        <v xml:space="preserve">Chord tip: </v>
      </c>
      <c r="H46" s="7">
        <f>IF('External layout'!B44="","",'External layout'!B44)</f>
        <v>0.11981567312918143</v>
      </c>
      <c r="I46" s="7" t="str">
        <f>IF(Wing!I46="","",Wing!I46)</f>
        <v/>
      </c>
    </row>
    <row r="47" spans="1:13" x14ac:dyDescent="0.25">
      <c r="A47" s="7" t="str">
        <f>IF('Internal Layout'!A46="","",'Internal Layout'!A46)</f>
        <v xml:space="preserve">X: </v>
      </c>
      <c r="B47" s="7">
        <f>IF('Internal Layout'!B46="","",'Internal Layout'!B46)</f>
        <v>0.92338906844201496</v>
      </c>
      <c r="F47" s="7"/>
      <c r="G47" s="7" t="str">
        <f>IF('External layout'!A45="","",'External layout'!A45)</f>
        <v xml:space="preserve">Span: </v>
      </c>
      <c r="H47" s="7">
        <f>IF('External layout'!B45="","",'External layout'!B45)</f>
        <v>0.22465438711721517</v>
      </c>
      <c r="I47" s="7" t="str">
        <f>IF(Wing!I47="","",Wing!I47)</f>
        <v/>
      </c>
    </row>
    <row r="48" spans="1:13" x14ac:dyDescent="0.25">
      <c r="A48" s="7" t="str">
        <f>IF('Internal Layout'!A47="","",'Internal Layout'!A47)</f>
        <v xml:space="preserve">Y: </v>
      </c>
      <c r="B48" s="7">
        <f>IF('Internal Layout'!B47="","",'Internal Layout'!B47)</f>
        <v>0</v>
      </c>
      <c r="F48" s="7"/>
      <c r="G48" s="7" t="str">
        <f>IF('External layout'!A46="","",'External layout'!A46)</f>
        <v xml:space="preserve">Airfoil: </v>
      </c>
      <c r="H48" s="7" t="str">
        <f>IF('External layout'!B46="","",'External layout'!B46)</f>
        <v>NACA0006</v>
      </c>
      <c r="I48" s="7" t="str">
        <f>IF(Wing!I48="","",Wing!I48)</f>
        <v/>
      </c>
    </row>
    <row r="49" spans="1:9" x14ac:dyDescent="0.25">
      <c r="A49" s="7" t="str">
        <f>IF('Internal Layout'!A48="","",'Internal Layout'!A48)</f>
        <v xml:space="preserve">Z: </v>
      </c>
      <c r="B49" s="7">
        <f>IF('Internal Layout'!B48="","",'Internal Layout'!B48)</f>
        <v>1.95E-2</v>
      </c>
      <c r="F49" s="7"/>
      <c r="G49" s="7" t="str">
        <f>IF('External layout'!A47="","",'External layout'!A47)</f>
        <v xml:space="preserve">Rudder_span_start: </v>
      </c>
      <c r="H49" s="7">
        <f>IF('External layout'!B47="","",'External layout'!B47)</f>
        <v>0</v>
      </c>
      <c r="I49" s="7" t="str">
        <f>IF(Wing!I49="","",Wing!I49)</f>
        <v/>
      </c>
    </row>
    <row r="50" spans="1:9" x14ac:dyDescent="0.25">
      <c r="A50" s="7" t="str">
        <f>IF('Internal Layout'!A49="","",'Internal Layout'!A49)</f>
        <v/>
      </c>
      <c r="B50" s="7" t="str">
        <f>IF('Internal Layout'!B49="","",'Internal Layout'!B49)</f>
        <v/>
      </c>
      <c r="F50" s="7"/>
      <c r="G50" s="7" t="str">
        <f>IF('External layout'!A48="","",'External layout'!A48)</f>
        <v xml:space="preserve">Rudder_span_end: </v>
      </c>
      <c r="H50" s="7">
        <f>IF('External layout'!B48="","",'External layout'!B48)</f>
        <v>1</v>
      </c>
      <c r="I50" s="7" t="str">
        <f>IF(Wing!I50="","",Wing!I50)</f>
        <v/>
      </c>
    </row>
    <row r="51" spans="1:9" x14ac:dyDescent="0.25">
      <c r="A51" s="7" t="str">
        <f>IF('Internal Layout'!A50="","",'Internal Layout'!A50)</f>
        <v/>
      </c>
      <c r="B51" s="7" t="str">
        <f>IF('Internal Layout'!B50="","",'Internal Layout'!B50)</f>
        <v/>
      </c>
      <c r="F51" s="7"/>
      <c r="G51" s="7" t="str">
        <f>IF('External layout'!A49="","",'External layout'!A49)</f>
        <v xml:space="preserve">Rudder_choord_ratio: </v>
      </c>
      <c r="H51" s="7">
        <f>IF('External layout'!B49="","",'External layout'!B49)</f>
        <v>0.25</v>
      </c>
      <c r="I51" s="7" t="str">
        <f>IF(Wing!I51="","",Wing!I51)</f>
        <v/>
      </c>
    </row>
    <row r="52" spans="1:9" x14ac:dyDescent="0.25">
      <c r="A52" s="7" t="str">
        <f>IF('Internal Layout'!A51="","",'Internal Layout'!A51)</f>
        <v xml:space="preserve">NAME: </v>
      </c>
      <c r="B52" s="7" t="str">
        <f>IF('Internal Layout'!B51="","",'Internal Layout'!B51)</f>
        <v>Telemetry</v>
      </c>
      <c r="F52" s="7"/>
      <c r="G52" s="7" t="str">
        <f>IF('External layout'!A50="","",'External layout'!A50)</f>
        <v xml:space="preserve">Rudder_angle_maxup: </v>
      </c>
      <c r="H52" s="7">
        <f>IF('External layout'!B50="","",'External layout'!B50)</f>
        <v>20</v>
      </c>
      <c r="I52" s="7" t="str">
        <f>IF(Wing!I52="","",Wing!I52)</f>
        <v/>
      </c>
    </row>
    <row r="53" spans="1:9" x14ac:dyDescent="0.25">
      <c r="A53" s="7" t="str">
        <f>IF('Internal Layout'!A52="","",'Internal Layout'!A52)</f>
        <v xml:space="preserve">MASS: </v>
      </c>
      <c r="B53" s="7">
        <f>IF('Internal Layout'!B52="","",'Internal Layout'!B52)</f>
        <v>4.0000000000000001E-3</v>
      </c>
      <c r="F53" s="7"/>
      <c r="G53" s="7" t="str">
        <f>IF('External layout'!A51="","",'External layout'!A51)</f>
        <v xml:space="preserve">Rudder_angle_maxdown: </v>
      </c>
      <c r="H53" s="7">
        <f>IF('External layout'!B51="","",'External layout'!B51)</f>
        <v>-20</v>
      </c>
      <c r="I53" s="7" t="str">
        <f>IF(Wing!I53="","",Wing!I53)</f>
        <v/>
      </c>
    </row>
    <row r="54" spans="1:9" x14ac:dyDescent="0.25">
      <c r="A54" s="7" t="str">
        <f>IF('Internal Layout'!A53="","",'Internal Layout'!A53)</f>
        <v xml:space="preserve">LX: </v>
      </c>
      <c r="B54" s="7">
        <f>IF('Internal Layout'!B53="","",'Internal Layout'!B53)</f>
        <v>5.5500000000000001E-2</v>
      </c>
      <c r="F54" s="7"/>
      <c r="G54" s="7" t="str">
        <f>IF('External layout'!A52="","",'External layout'!A52)</f>
        <v/>
      </c>
      <c r="H54" s="7" t="str">
        <f>IF('External layout'!B52="","",'External layout'!B52)</f>
        <v/>
      </c>
      <c r="I54" s="7" t="str">
        <f>IF(Wing!I54="","",Wing!I54)</f>
        <v/>
      </c>
    </row>
    <row r="55" spans="1:9" x14ac:dyDescent="0.25">
      <c r="A55" s="7" t="str">
        <f>IF('Internal Layout'!A54="","",'Internal Layout'!A54)</f>
        <v xml:space="preserve">LY: </v>
      </c>
      <c r="B55" s="7">
        <f>IF('Internal Layout'!B54="","",'Internal Layout'!B54)</f>
        <v>2.6700000000000002E-2</v>
      </c>
      <c r="F55" s="7"/>
      <c r="G55" s="7" t="str">
        <f>IF('External layout'!A53="","",'External layout'!A53)</f>
        <v/>
      </c>
      <c r="H55" s="7" t="str">
        <f>IF('External layout'!B53="","",'External layout'!B53)</f>
        <v/>
      </c>
      <c r="I55" s="7" t="str">
        <f>IF(Wing!I55="","",Wing!I55)</f>
        <v/>
      </c>
    </row>
    <row r="56" spans="1:9" x14ac:dyDescent="0.25">
      <c r="A56" s="7" t="str">
        <f>IF('Internal Layout'!A55="","",'Internal Layout'!A55)</f>
        <v xml:space="preserve">LZ: </v>
      </c>
      <c r="B56" s="7">
        <f>IF('Internal Layout'!B55="","",'Internal Layout'!B55)</f>
        <v>1.3300000000000001E-2</v>
      </c>
      <c r="G56" s="7" t="str">
        <f>IF('External layout'!A54="","",'External layout'!A54)</f>
        <v>DRAG BREAKDOWN</v>
      </c>
      <c r="H56" s="7" t="str">
        <f>IF('External layout'!B54="","",'External layout'!B54)</f>
        <v/>
      </c>
    </row>
    <row r="57" spans="1:9" s="341" customFormat="1" x14ac:dyDescent="0.25">
      <c r="A57" s="7" t="str">
        <f>IF('Internal Layout'!A56="","",'Internal Layout'!A56)</f>
        <v xml:space="preserve">X: </v>
      </c>
      <c r="B57" s="7">
        <f>IF('Internal Layout'!B56="","",'Internal Layout'!B56)</f>
        <v>0.97113906844201503</v>
      </c>
      <c r="G57" s="7" t="str">
        <f>IF('External layout'!A55="","",'External layout'!A55)</f>
        <v xml:space="preserve">Wing: </v>
      </c>
      <c r="H57" s="7">
        <f>IF('External layout'!B55="","",'External layout'!B55)</f>
        <v>1.3301426817374491</v>
      </c>
    </row>
    <row r="58" spans="1:9" s="341" customFormat="1" x14ac:dyDescent="0.25">
      <c r="A58" s="7" t="str">
        <f>IF('Internal Layout'!A57="","",'Internal Layout'!A57)</f>
        <v xml:space="preserve">Y: </v>
      </c>
      <c r="B58" s="7">
        <f>IF('Internal Layout'!B57="","",'Internal Layout'!B57)</f>
        <v>0</v>
      </c>
      <c r="G58" s="7" t="str">
        <f>IF('External layout'!A56="","",'External layout'!A56)</f>
        <v xml:space="preserve">Hstab: </v>
      </c>
      <c r="H58" s="7">
        <f>IF('External layout'!B56="","",'External layout'!B56)</f>
        <v>9.619807608751553E-2</v>
      </c>
    </row>
    <row r="59" spans="1:9" s="341" customFormat="1" x14ac:dyDescent="0.25">
      <c r="A59" s="7" t="str">
        <f>IF('Internal Layout'!A58="","",'Internal Layout'!A58)</f>
        <v xml:space="preserve">Z: </v>
      </c>
      <c r="B59" s="7">
        <f>IF('Internal Layout'!B58="","",'Internal Layout'!B58)</f>
        <v>8.2850000000000007E-2</v>
      </c>
      <c r="G59" s="7" t="str">
        <f>IF('External layout'!A57="","",'External layout'!A57)</f>
        <v xml:space="preserve">Fuselage: </v>
      </c>
      <c r="H59" s="7">
        <f>IF('External layout'!B57="","",'External layout'!B57)</f>
        <v>0.63589724483929977</v>
      </c>
    </row>
    <row r="60" spans="1:9" s="341" customFormat="1" x14ac:dyDescent="0.25">
      <c r="A60" s="7" t="str">
        <f>IF('Internal Layout'!A59="","",'Internal Layout'!A59)</f>
        <v/>
      </c>
      <c r="B60" s="7" t="str">
        <f>IF('Internal Layout'!B59="","",'Internal Layout'!B59)</f>
        <v/>
      </c>
      <c r="G60" s="7" t="str">
        <f>IF('External layout'!A58="","",'External layout'!A58)</f>
        <v xml:space="preserve">Total: </v>
      </c>
      <c r="H60" s="7">
        <f>IF('External layout'!B58="","",'External layout'!B58)</f>
        <v>2.0622380026642646</v>
      </c>
    </row>
    <row r="61" spans="1:9" s="341" customFormat="1" x14ac:dyDescent="0.25">
      <c r="A61" s="7" t="str">
        <f>IF('Internal Layout'!A60="","",'Internal Layout'!A60)</f>
        <v/>
      </c>
      <c r="B61" s="7" t="str">
        <f>IF('Internal Layout'!B60="","",'Internal Layout'!B60)</f>
        <v/>
      </c>
      <c r="G61" s="7" t="str">
        <f>IF('External layout'!A59="","",'External layout'!A59)</f>
        <v/>
      </c>
      <c r="H61" s="7" t="str">
        <f>IF('External layout'!B59="","",'External layout'!B59)</f>
        <v/>
      </c>
    </row>
    <row r="62" spans="1:9" s="341" customFormat="1" x14ac:dyDescent="0.25">
      <c r="A62" s="7" t="str">
        <f>IF('Internal Layout'!A61="","",'Internal Layout'!A61)</f>
        <v xml:space="preserve">NAME: </v>
      </c>
      <c r="B62" s="7" t="str">
        <f>IF('Internal Layout'!B61="","",'Internal Layout'!B61)</f>
        <v>GPS_module</v>
      </c>
      <c r="G62" s="7" t="str">
        <f>IF('External layout'!A60="","",'External layout'!A60)</f>
        <v/>
      </c>
      <c r="H62" s="7" t="str">
        <f>IF('External layout'!B60="","",'External layout'!B60)</f>
        <v/>
      </c>
    </row>
    <row r="63" spans="1:9" s="341" customFormat="1" x14ac:dyDescent="0.25">
      <c r="A63" s="7" t="str">
        <f>IF('Internal Layout'!A62="","",'Internal Layout'!A62)</f>
        <v xml:space="preserve">MASS: </v>
      </c>
      <c r="B63" s="7">
        <f>IF('Internal Layout'!B62="","",'Internal Layout'!B62)</f>
        <v>1.6800000000000002E-2</v>
      </c>
      <c r="G63" s="7" t="str">
        <f>IF('External layout'!A61="","",'External layout'!A61)</f>
        <v>LONG STABILITY (TWO GIMBALS)</v>
      </c>
      <c r="H63" s="7" t="str">
        <f>IF('External layout'!B61="","",'External layout'!B61)</f>
        <v/>
      </c>
    </row>
    <row r="64" spans="1:9" s="341" customFormat="1" x14ac:dyDescent="0.25">
      <c r="A64" s="7" t="str">
        <f>IF('Internal Layout'!A63="","",'Internal Layout'!A63)</f>
        <v xml:space="preserve">LX: </v>
      </c>
      <c r="B64" s="7">
        <f>IF('Internal Layout'!B63="","",'Internal Layout'!B63)</f>
        <v>3.7999999999999999E-2</v>
      </c>
      <c r="G64" s="7" t="str">
        <f>IF('External layout'!A62="","",'External layout'!A62)</f>
        <v xml:space="preserve">Mass: </v>
      </c>
      <c r="H64" s="7">
        <f>IF('External layout'!B62="","",'External layout'!B62)</f>
        <v>2.1571999999999996</v>
      </c>
    </row>
    <row r="65" spans="1:8" s="341" customFormat="1" x14ac:dyDescent="0.25">
      <c r="A65" s="7" t="str">
        <f>IF('Internal Layout'!A64="","",'Internal Layout'!A64)</f>
        <v xml:space="preserve">LY: </v>
      </c>
      <c r="B65" s="7">
        <f>IF('Internal Layout'!B64="","",'Internal Layout'!B64)</f>
        <v>3.7999999999999999E-2</v>
      </c>
      <c r="G65" s="7" t="str">
        <f>IF('External layout'!A63="","",'External layout'!A63)</f>
        <v xml:space="preserve">Cm_alpha: </v>
      </c>
      <c r="H65" s="7">
        <f>IF('External layout'!B63="","",'External layout'!B63)</f>
        <v>-0.93568381689628144</v>
      </c>
    </row>
    <row r="66" spans="1:8" s="341" customFormat="1" x14ac:dyDescent="0.25">
      <c r="A66" s="7" t="str">
        <f>IF('Internal Layout'!A65="","",'Internal Layout'!A65)</f>
        <v xml:space="preserve">LZ: </v>
      </c>
      <c r="B66" s="7">
        <f>IF('Internal Layout'!B65="","",'Internal Layout'!B65)</f>
        <v>8.5000000000000006E-3</v>
      </c>
      <c r="G66" s="7" t="str">
        <f>IF('External layout'!A64="","",'External layout'!A64)</f>
        <v xml:space="preserve">x_CG: </v>
      </c>
      <c r="H66" s="7">
        <f>IF('External layout'!B64="","",'External layout'!B64)</f>
        <v>0.51954023258218385</v>
      </c>
    </row>
    <row r="67" spans="1:8" s="341" customFormat="1" x14ac:dyDescent="0.25">
      <c r="A67" s="7" t="str">
        <f>IF('Internal Layout'!A66="","",'Internal Layout'!A66)</f>
        <v xml:space="preserve">X: </v>
      </c>
      <c r="B67" s="7">
        <f>IF('Internal Layout'!B66="","",'Internal Layout'!B66)</f>
        <v>0.96238906844201499</v>
      </c>
      <c r="G67" s="7" t="str">
        <f>IF('External layout'!A65="","",'External layout'!A65)</f>
        <v xml:space="preserve">NP: </v>
      </c>
      <c r="H67" s="7">
        <f>IF('External layout'!B65="","",'External layout'!B65)</f>
        <v>0.57385345480440619</v>
      </c>
    </row>
    <row r="68" spans="1:8" s="341" customFormat="1" x14ac:dyDescent="0.25">
      <c r="A68" s="7" t="str">
        <f>IF('Internal Layout'!A67="","",'Internal Layout'!A67)</f>
        <v xml:space="preserve">Y: </v>
      </c>
      <c r="B68" s="7">
        <f>IF('Internal Layout'!B67="","",'Internal Layout'!B67)</f>
        <v>0</v>
      </c>
      <c r="G68" s="7" t="str">
        <f>IF('External layout'!A66="","",'External layout'!A66)</f>
        <v xml:space="preserve">SM: </v>
      </c>
      <c r="H68" s="7">
        <f>IF('External layout'!B66="","",'External layout'!B66)</f>
        <v>5.4313222222222332E-2</v>
      </c>
    </row>
    <row r="69" spans="1:8" s="341" customFormat="1" x14ac:dyDescent="0.25">
      <c r="A69" s="7" t="str">
        <f>IF('Internal Layout'!A68="","",'Internal Layout'!A68)</f>
        <v xml:space="preserve">Z: </v>
      </c>
      <c r="B69" s="7">
        <f>IF('Internal Layout'!B68="","",'Internal Layout'!B68)</f>
        <v>9.3750000000000014E-2</v>
      </c>
      <c r="G69" s="7" t="str">
        <f>IF('External layout'!A67="","",'External layout'!A67)</f>
        <v/>
      </c>
      <c r="H69" s="7" t="str">
        <f>IF('External layout'!B67="","",'External layout'!B67)</f>
        <v/>
      </c>
    </row>
    <row r="70" spans="1:8" s="341" customFormat="1" x14ac:dyDescent="0.25">
      <c r="A70" s="7" t="str">
        <f>IF('Internal Layout'!A69="","",'Internal Layout'!A69)</f>
        <v/>
      </c>
      <c r="B70" s="7" t="str">
        <f>IF('Internal Layout'!B69="","",'Internal Layout'!B69)</f>
        <v/>
      </c>
      <c r="G70" s="7" t="str">
        <f>IF('External layout'!A68="","",'External layout'!A68)</f>
        <v/>
      </c>
      <c r="H70" s="7" t="str">
        <f>IF('External layout'!B68="","",'External layout'!B68)</f>
        <v/>
      </c>
    </row>
    <row r="71" spans="1:8" s="341" customFormat="1" x14ac:dyDescent="0.25">
      <c r="A71" s="7" t="str">
        <f>IF('Internal Layout'!A70="","",'Internal Layout'!A70)</f>
        <v/>
      </c>
      <c r="B71" s="7" t="str">
        <f>IF('Internal Layout'!B70="","",'Internal Layout'!B70)</f>
        <v/>
      </c>
      <c r="G71" s="7" t="str">
        <f>IF('External layout'!A69="","",'External layout'!A69)</f>
        <v/>
      </c>
      <c r="H71" s="7" t="str">
        <f>IF('External layout'!B69="","",'External layout'!B69)</f>
        <v/>
      </c>
    </row>
    <row r="72" spans="1:8" s="341" customFormat="1" x14ac:dyDescent="0.25">
      <c r="A72" s="7" t="str">
        <f>IF('Internal Layout'!A71="","",'Internal Layout'!A71)</f>
        <v xml:space="preserve">NAME: </v>
      </c>
      <c r="B72" s="7" t="str">
        <f>IF('Internal Layout'!B71="","",'Internal Layout'!B71)</f>
        <v>Speed Controller</v>
      </c>
      <c r="G72" s="7" t="str">
        <f>IF('External layout'!A70="","",'External layout'!A70)</f>
        <v/>
      </c>
      <c r="H72" s="7" t="str">
        <f>IF('External layout'!B70="","",'External layout'!B70)</f>
        <v/>
      </c>
    </row>
    <row r="73" spans="1:8" s="341" customFormat="1" x14ac:dyDescent="0.25">
      <c r="A73" s="7" t="str">
        <f>IF('Internal Layout'!A72="","",'Internal Layout'!A72)</f>
        <v xml:space="preserve">MASS: </v>
      </c>
      <c r="B73" s="7">
        <f>IF('Internal Layout'!B72="","",'Internal Layout'!B72)</f>
        <v>2.5000000000000001E-2</v>
      </c>
      <c r="G73" s="7" t="str">
        <f>IF('External layout'!A71="","",'External layout'!A71)</f>
        <v/>
      </c>
      <c r="H73" s="7" t="str">
        <f>IF('External layout'!B71="","",'External layout'!B71)</f>
        <v/>
      </c>
    </row>
    <row r="74" spans="1:8" s="341" customFormat="1" x14ac:dyDescent="0.25">
      <c r="A74" s="7" t="str">
        <f>IF('Internal Layout'!A73="","",'Internal Layout'!A73)</f>
        <v xml:space="preserve">LX: </v>
      </c>
      <c r="B74" s="7">
        <f>IF('Internal Layout'!B73="","",'Internal Layout'!B73)</f>
        <v>5.5E-2</v>
      </c>
      <c r="G74" s="7" t="str">
        <f>IF('External layout'!A72="","",'External layout'!A72)</f>
        <v/>
      </c>
      <c r="H74" s="7" t="str">
        <f>IF('External layout'!B72="","",'External layout'!B72)</f>
        <v/>
      </c>
    </row>
    <row r="75" spans="1:8" s="341" customFormat="1" x14ac:dyDescent="0.25">
      <c r="A75" s="7" t="str">
        <f>IF('Internal Layout'!A74="","",'Internal Layout'!A74)</f>
        <v xml:space="preserve">LY: </v>
      </c>
      <c r="B75" s="7">
        <f>IF('Internal Layout'!B74="","",'Internal Layout'!B74)</f>
        <v>1.9E-2</v>
      </c>
      <c r="G75" s="7" t="str">
        <f>IF('External layout'!A73="","",'External layout'!A73)</f>
        <v/>
      </c>
      <c r="H75" s="7" t="str">
        <f>IF('External layout'!B73="","",'External layout'!B73)</f>
        <v/>
      </c>
    </row>
    <row r="76" spans="1:8" s="341" customFormat="1" x14ac:dyDescent="0.25">
      <c r="A76" s="7" t="str">
        <f>IF('Internal Layout'!A75="","",'Internal Layout'!A75)</f>
        <v xml:space="preserve">LZ: </v>
      </c>
      <c r="B76" s="7">
        <f>IF('Internal Layout'!B75="","",'Internal Layout'!B75)</f>
        <v>0.01</v>
      </c>
      <c r="G76" s="7" t="str">
        <f>IF('External layout'!A74="","",'External layout'!A74)</f>
        <v/>
      </c>
      <c r="H76" s="7" t="str">
        <f>IF('External layout'!B74="","",'External layout'!B74)</f>
        <v/>
      </c>
    </row>
    <row r="77" spans="1:8" s="341" customFormat="1" x14ac:dyDescent="0.25">
      <c r="A77" s="7" t="str">
        <f>IF('Internal Layout'!A76="","",'Internal Layout'!A76)</f>
        <v xml:space="preserve">X: </v>
      </c>
      <c r="B77" s="7">
        <f>IF('Internal Layout'!B76="","",'Internal Layout'!B76)</f>
        <v>1.0263890684420149</v>
      </c>
      <c r="F77" s="341" t="s">
        <v>2068</v>
      </c>
    </row>
    <row r="78" spans="1:8" s="341" customFormat="1" x14ac:dyDescent="0.25">
      <c r="A78" s="7" t="str">
        <f>IF('Internal Layout'!A77="","",'Internal Layout'!A77)</f>
        <v xml:space="preserve">Y: </v>
      </c>
      <c r="B78" s="7">
        <f>IF('Internal Layout'!B77="","",'Internal Layout'!B77)</f>
        <v>0</v>
      </c>
    </row>
    <row r="79" spans="1:8" s="341" customFormat="1" x14ac:dyDescent="0.25">
      <c r="A79" s="7" t="str">
        <f>IF('Internal Layout'!A78="","",'Internal Layout'!A78)</f>
        <v xml:space="preserve">Z: </v>
      </c>
      <c r="B79" s="7">
        <f>IF('Internal Layout'!B78="","",'Internal Layout'!B78)</f>
        <v>8.1200000000000008E-2</v>
      </c>
    </row>
    <row r="80" spans="1:8" s="341" customFormat="1" x14ac:dyDescent="0.25">
      <c r="A80" s="7" t="str">
        <f>IF('Internal Layout'!A79="","",'Internal Layout'!A79)</f>
        <v/>
      </c>
      <c r="B80" s="7" t="str">
        <f>IF('Internal Layout'!B79="","",'Internal Layout'!B79)</f>
        <v/>
      </c>
    </row>
    <row r="81" spans="1:7" s="341" customFormat="1" x14ac:dyDescent="0.25">
      <c r="A81" s="7" t="str">
        <f>IF('Internal Layout'!A80="","",'Internal Layout'!A80)</f>
        <v/>
      </c>
      <c r="B81" s="7" t="str">
        <f>IF('Internal Layout'!B80="","",'Internal Layout'!B80)</f>
        <v/>
      </c>
    </row>
    <row r="82" spans="1:7" s="341" customFormat="1" x14ac:dyDescent="0.25">
      <c r="A82" s="7" t="str">
        <f>IF('Internal Layout'!A81="","",'Internal Layout'!A81)</f>
        <v xml:space="preserve">NAME: </v>
      </c>
      <c r="B82" s="7" t="str">
        <f>IF('Internal Layout'!B81="","",'Internal Layout'!B81)</f>
        <v>Motor</v>
      </c>
      <c r="E82" s="89"/>
      <c r="F82" s="89"/>
      <c r="G82" s="89"/>
    </row>
    <row r="83" spans="1:7" s="341" customFormat="1" x14ac:dyDescent="0.25">
      <c r="A83" s="7" t="str">
        <f>IF('Internal Layout'!A82="","",'Internal Layout'!A82)</f>
        <v xml:space="preserve">MASS: </v>
      </c>
      <c r="B83" s="7">
        <f>IF('Internal Layout'!B82="","",'Internal Layout'!B82)</f>
        <v>5.2999999999999999E-2</v>
      </c>
    </row>
    <row r="84" spans="1:7" s="341" customFormat="1" x14ac:dyDescent="0.25">
      <c r="A84" s="7" t="str">
        <f>IF('Internal Layout'!A83="","",'Internal Layout'!A83)</f>
        <v xml:space="preserve">LX: </v>
      </c>
      <c r="B84" s="7">
        <f>IF('Internal Layout'!B83="","",'Internal Layout'!B83)</f>
        <v>3.3000000000000002E-2</v>
      </c>
    </row>
    <row r="85" spans="1:7" s="341" customFormat="1" x14ac:dyDescent="0.25">
      <c r="A85" s="7" t="str">
        <f>IF('Internal Layout'!A84="","",'Internal Layout'!A84)</f>
        <v xml:space="preserve">LY: </v>
      </c>
      <c r="B85" s="7">
        <f>IF('Internal Layout'!B84="","",'Internal Layout'!B84)</f>
        <v>2.7999999999999997E-2</v>
      </c>
    </row>
    <row r="86" spans="1:7" s="341" customFormat="1" x14ac:dyDescent="0.25">
      <c r="A86" s="7" t="str">
        <f>IF('Internal Layout'!A85="","",'Internal Layout'!A85)</f>
        <v xml:space="preserve">LZ: </v>
      </c>
      <c r="B86" s="7">
        <f>IF('Internal Layout'!B85="","",'Internal Layout'!B85)</f>
        <v>2.7999999999999997E-2</v>
      </c>
    </row>
    <row r="87" spans="1:7" s="341" customFormat="1" x14ac:dyDescent="0.25">
      <c r="A87" s="7" t="str">
        <f>IF('Internal Layout'!A86="","",'Internal Layout'!A86)</f>
        <v xml:space="preserve">X: </v>
      </c>
      <c r="B87" s="7">
        <f>IF('Internal Layout'!B86="","",'Internal Layout'!B86)</f>
        <v>1.4826886372960693</v>
      </c>
    </row>
    <row r="88" spans="1:7" s="341" customFormat="1" x14ac:dyDescent="0.25">
      <c r="A88" s="7" t="str">
        <f>IF('Internal Layout'!A87="","",'Internal Layout'!A87)</f>
        <v xml:space="preserve">Y: </v>
      </c>
      <c r="B88" s="7">
        <f>IF('Internal Layout'!B87="","",'Internal Layout'!B87)</f>
        <v>0</v>
      </c>
    </row>
    <row r="89" spans="1:7" s="341" customFormat="1" x14ac:dyDescent="0.25">
      <c r="A89" s="7" t="str">
        <f>IF('Internal Layout'!A88="","",'Internal Layout'!A88)</f>
        <v xml:space="preserve">Z: </v>
      </c>
      <c r="B89" s="7">
        <f>IF('Internal Layout'!B88="","",'Internal Layout'!B88)</f>
        <v>9.0200000000000002E-2</v>
      </c>
    </row>
    <row r="90" spans="1:7" s="341" customFormat="1" x14ac:dyDescent="0.25">
      <c r="A90" s="341" t="str">
        <f>IF('Internal Layout'!A89="","",'Internal Layout'!A89)</f>
        <v/>
      </c>
      <c r="B90" s="341" t="str">
        <f>IF('Internal Layout'!B89="","",'Internal Layout'!B89)</f>
        <v/>
      </c>
    </row>
    <row r="91" spans="1:7" s="341" customFormat="1" x14ac:dyDescent="0.25">
      <c r="A91" s="341" t="str">
        <f>IF('Internal Layout'!A90="","",'Internal Layout'!A90)</f>
        <v/>
      </c>
      <c r="B91" s="341" t="str">
        <f>IF('Internal Layout'!B90="","",'Internal Layout'!B90)</f>
        <v/>
      </c>
    </row>
    <row r="92" spans="1:7" s="341" customFormat="1" x14ac:dyDescent="0.25">
      <c r="A92" s="341" t="str">
        <f>IF('Internal Layout'!A91="","",'Internal Layout'!A91)</f>
        <v/>
      </c>
      <c r="B92" s="341" t="str">
        <f>IF('Internal Layout'!B91="","",'Internal Layout'!B91)</f>
        <v/>
      </c>
    </row>
    <row r="93" spans="1:7" s="341" customFormat="1" x14ac:dyDescent="0.25">
      <c r="A93" s="341" t="str">
        <f>IF('Internal Layout'!A92="","",'Internal Layout'!A92)</f>
        <v/>
      </c>
      <c r="B93" s="341" t="str">
        <f>IF('Internal Layout'!B92="","",'Internal Layout'!B92)</f>
        <v/>
      </c>
    </row>
    <row r="94" spans="1:7" s="341" customFormat="1" x14ac:dyDescent="0.25">
      <c r="A94" s="341" t="str">
        <f>IF('Internal Layout'!A93="","",'Internal Layout'!A93)</f>
        <v/>
      </c>
      <c r="B94" s="341" t="str">
        <f>IF('Internal Layout'!B93="","",'Internal Layout'!B93)</f>
        <v/>
      </c>
    </row>
    <row r="95" spans="1:7" s="341" customFormat="1" x14ac:dyDescent="0.25"/>
    <row r="96" spans="1:7" s="341" customFormat="1" x14ac:dyDescent="0.25"/>
    <row r="97" spans="1:96" s="341" customFormat="1" ht="15.75" thickBot="1" x14ac:dyDescent="0.3"/>
    <row r="98" spans="1:96" s="180" customFormat="1" x14ac:dyDescent="0.25">
      <c r="A98" s="179" t="s">
        <v>2231</v>
      </c>
    </row>
    <row r="99" spans="1:96" x14ac:dyDescent="0.25">
      <c r="A99" s="59" t="s">
        <v>2040</v>
      </c>
      <c r="B99" t="s">
        <v>1999</v>
      </c>
      <c r="C99" t="s">
        <v>701</v>
      </c>
      <c r="D99" s="136"/>
      <c r="E99" s="136"/>
      <c r="O99" s="136"/>
      <c r="S99" s="135"/>
      <c r="T99" s="135"/>
      <c r="U99" s="135"/>
    </row>
    <row r="100" spans="1:96" x14ac:dyDescent="0.25">
      <c r="A100" t="s">
        <v>706</v>
      </c>
      <c r="B100">
        <f>H16/(T4)</f>
        <v>8.9096493146689961E-3</v>
      </c>
      <c r="C100">
        <f>B100*12</f>
        <v>0.10691579177602795</v>
      </c>
      <c r="D100" s="136"/>
      <c r="E100" s="136"/>
      <c r="H100" t="s">
        <v>1822</v>
      </c>
      <c r="O100" s="136"/>
      <c r="S100" s="135"/>
      <c r="T100" s="135"/>
      <c r="U100" s="135"/>
    </row>
    <row r="101" spans="1:96" x14ac:dyDescent="0.25">
      <c r="A101" t="s">
        <v>707</v>
      </c>
      <c r="B101">
        <f>H16*100/T4</f>
        <v>0.89096493146689959</v>
      </c>
      <c r="C101">
        <f>B101*12</f>
        <v>10.691579177602796</v>
      </c>
      <c r="D101" s="136"/>
      <c r="E101" s="136"/>
      <c r="O101" s="136"/>
      <c r="S101" s="135"/>
      <c r="T101" s="135"/>
      <c r="U101" s="135"/>
    </row>
    <row r="102" spans="1:96" ht="15.75" thickBot="1" x14ac:dyDescent="0.3">
      <c r="A102" s="59" t="s">
        <v>2041</v>
      </c>
      <c r="D102" s="136"/>
      <c r="E102" s="136"/>
      <c r="O102" s="136"/>
      <c r="S102" s="135"/>
      <c r="T102" s="135"/>
      <c r="U102" s="135"/>
    </row>
    <row r="103" spans="1:96" ht="15.75" thickBot="1" x14ac:dyDescent="0.3">
      <c r="A103" s="525" t="s">
        <v>2232</v>
      </c>
      <c r="B103" s="526"/>
      <c r="C103" s="526"/>
      <c r="D103" s="526"/>
      <c r="E103" s="527"/>
      <c r="G103" s="522" t="s">
        <v>2010</v>
      </c>
      <c r="H103" s="523"/>
      <c r="I103" s="523"/>
      <c r="J103" s="523"/>
      <c r="K103" s="524"/>
      <c r="M103" s="528" t="s">
        <v>2010</v>
      </c>
      <c r="N103" s="529"/>
      <c r="O103" s="529"/>
      <c r="P103" s="205"/>
      <c r="Q103" s="177"/>
      <c r="R103" s="206"/>
      <c r="S103" s="213"/>
      <c r="T103" s="207"/>
      <c r="U103" s="135"/>
    </row>
    <row r="104" spans="1:96" ht="19.5" thickBot="1" x14ac:dyDescent="0.35">
      <c r="A104" s="185" t="s">
        <v>1837</v>
      </c>
      <c r="B104" s="189" t="s">
        <v>1838</v>
      </c>
      <c r="C104" s="190" t="s">
        <v>1996</v>
      </c>
      <c r="D104" s="191"/>
      <c r="E104" s="192" t="s">
        <v>1995</v>
      </c>
      <c r="G104" s="182" t="s">
        <v>1837</v>
      </c>
      <c r="H104" s="176" t="s">
        <v>1838</v>
      </c>
      <c r="I104" s="175" t="s">
        <v>1994</v>
      </c>
      <c r="J104" s="174"/>
      <c r="K104" s="173" t="s">
        <v>1993</v>
      </c>
      <c r="M104" s="149" t="s">
        <v>1992</v>
      </c>
      <c r="N104" s="148" t="s">
        <v>2011</v>
      </c>
      <c r="O104" s="156"/>
      <c r="P104" s="149" t="s">
        <v>1991</v>
      </c>
      <c r="Q104" s="148" t="s">
        <v>1990</v>
      </c>
      <c r="R104" s="202" t="s">
        <v>1989</v>
      </c>
      <c r="S104" s="203" t="s">
        <v>2043</v>
      </c>
      <c r="T104" s="208" t="s">
        <v>2060</v>
      </c>
      <c r="U104" s="135"/>
      <c r="W104" t="s">
        <v>2060</v>
      </c>
      <c r="BD104" s="7" t="s">
        <v>1987</v>
      </c>
      <c r="BE104" s="7" t="s">
        <v>1986</v>
      </c>
      <c r="BF104" s="7" t="s">
        <v>723</v>
      </c>
      <c r="BG104" s="7" t="s">
        <v>1985</v>
      </c>
      <c r="BH104" s="7"/>
      <c r="BM104" t="s">
        <v>1984</v>
      </c>
      <c r="BR104" s="7"/>
      <c r="BS104" s="178" t="s">
        <v>1998</v>
      </c>
      <c r="BT104" s="178"/>
      <c r="BU104" s="178"/>
      <c r="BV104" s="7"/>
      <c r="CC104" s="135"/>
    </row>
    <row r="105" spans="1:96" ht="15.75" thickBot="1" x14ac:dyDescent="0.3">
      <c r="A105" s="187"/>
      <c r="B105" s="152"/>
      <c r="C105" s="152"/>
      <c r="D105" s="151"/>
      <c r="E105" s="150"/>
      <c r="G105" s="181"/>
      <c r="H105" s="156"/>
      <c r="I105" s="156"/>
      <c r="J105" s="156"/>
      <c r="K105" s="172"/>
      <c r="M105" s="171"/>
      <c r="N105" s="143" t="s">
        <v>1983</v>
      </c>
      <c r="O105" s="154"/>
      <c r="P105" s="209"/>
      <c r="Q105" s="156"/>
      <c r="R105" s="202"/>
      <c r="S105" s="203" t="s">
        <v>2053</v>
      </c>
      <c r="T105" s="208"/>
      <c r="U105" s="135"/>
      <c r="Y105" t="s">
        <v>2046</v>
      </c>
      <c r="Z105" t="s">
        <v>2045</v>
      </c>
      <c r="AA105" s="32" t="s">
        <v>2044</v>
      </c>
      <c r="AH105" t="s">
        <v>1982</v>
      </c>
      <c r="AI105" t="s">
        <v>1981</v>
      </c>
      <c r="AJ105" t="s">
        <v>1980</v>
      </c>
      <c r="AK105" s="70" t="s">
        <v>1979</v>
      </c>
      <c r="AL105" s="70" t="s">
        <v>1977</v>
      </c>
      <c r="AM105" s="111" t="s">
        <v>1978</v>
      </c>
      <c r="AN105" s="111" t="s">
        <v>1977</v>
      </c>
      <c r="BD105" s="7" t="s">
        <v>1976</v>
      </c>
      <c r="BE105" s="7">
        <v>1.3</v>
      </c>
      <c r="BF105" s="7" t="s">
        <v>1975</v>
      </c>
      <c r="BG105" s="7" t="s">
        <v>1974</v>
      </c>
      <c r="BH105" s="7"/>
      <c r="BM105" t="s">
        <v>1973</v>
      </c>
      <c r="BN105">
        <f>BE105*BA141</f>
        <v>8.2043653864641221E-4</v>
      </c>
      <c r="BO105" t="s">
        <v>1942</v>
      </c>
      <c r="BR105" s="7" t="s">
        <v>1997</v>
      </c>
      <c r="BS105" s="7" t="s">
        <v>1975</v>
      </c>
      <c r="BT105" s="7">
        <v>9.2799999999999994</v>
      </c>
      <c r="BU105" s="7"/>
      <c r="BV105" s="7"/>
      <c r="CD105" s="218" t="s">
        <v>2016</v>
      </c>
      <c r="CE105" s="180"/>
      <c r="CF105" s="82"/>
      <c r="CG105" s="8" t="s">
        <v>705</v>
      </c>
      <c r="CH105" s="228">
        <f>Q118</f>
        <v>2.7259250271216091</v>
      </c>
      <c r="CI105" s="180"/>
      <c r="CJ105" s="180"/>
      <c r="CK105" s="180"/>
      <c r="CL105" s="229" t="s">
        <v>2098</v>
      </c>
      <c r="CM105" s="8" t="s">
        <v>705</v>
      </c>
      <c r="CN105" s="228">
        <f>Q124</f>
        <v>5.7009638490813632</v>
      </c>
      <c r="CO105" s="180"/>
      <c r="CP105" s="180"/>
      <c r="CQ105" s="180"/>
      <c r="CR105" s="229" t="s">
        <v>2099</v>
      </c>
    </row>
    <row r="106" spans="1:96" ht="15.75" x14ac:dyDescent="0.25">
      <c r="A106" s="186">
        <v>0</v>
      </c>
      <c r="B106" s="152">
        <v>0</v>
      </c>
      <c r="C106" s="152">
        <v>1</v>
      </c>
      <c r="D106" s="151">
        <f t="shared" ref="D106:E138" si="0">A106*$C$101</f>
        <v>0</v>
      </c>
      <c r="E106" s="150">
        <f t="shared" si="0"/>
        <v>0</v>
      </c>
      <c r="G106" s="183">
        <v>0</v>
      </c>
      <c r="H106" s="156">
        <v>0</v>
      </c>
      <c r="I106" s="156">
        <v>1</v>
      </c>
      <c r="J106" s="148">
        <f t="shared" ref="J106:K134" si="1">G106*$C$101</f>
        <v>0</v>
      </c>
      <c r="K106" s="155">
        <f t="shared" si="1"/>
        <v>0</v>
      </c>
      <c r="M106" s="149">
        <f>J106</f>
        <v>0</v>
      </c>
      <c r="N106" s="148">
        <f>K106</f>
        <v>0</v>
      </c>
      <c r="O106" s="148">
        <v>1</v>
      </c>
      <c r="P106" s="149">
        <f t="shared" ref="P106:P138" si="2">E106-N106</f>
        <v>0</v>
      </c>
      <c r="Q106" s="148">
        <f t="shared" ref="Q106:Q138" si="3">D106</f>
        <v>0</v>
      </c>
      <c r="R106" s="202">
        <f t="shared" ref="R106:R138" si="4">(Q106/$C$101)</f>
        <v>0</v>
      </c>
      <c r="S106" s="203">
        <f>(E106+N106)/2</f>
        <v>0</v>
      </c>
      <c r="T106" s="208"/>
      <c r="U106" s="135"/>
      <c r="Y106" s="212" t="s">
        <v>1962</v>
      </c>
      <c r="AG106" s="136">
        <f t="shared" ref="AG106:AG138" si="5">O106</f>
        <v>1</v>
      </c>
      <c r="AH106" s="136">
        <f t="shared" ref="AH106:AH138" si="6">Q106</f>
        <v>0</v>
      </c>
      <c r="AI106" s="136">
        <f t="shared" ref="AI106:AI138" si="7">N106</f>
        <v>0</v>
      </c>
      <c r="AJ106" s="136">
        <f t="shared" ref="AJ106:AJ138" si="8">E106</f>
        <v>0</v>
      </c>
      <c r="AK106" s="70"/>
      <c r="AL106" s="70"/>
      <c r="AM106" s="111"/>
      <c r="AN106" s="111"/>
      <c r="AO106" s="142" t="s">
        <v>1970</v>
      </c>
      <c r="AP106" s="142"/>
      <c r="AR106" t="s">
        <v>1969</v>
      </c>
      <c r="AS106" t="s">
        <v>1968</v>
      </c>
      <c r="AW106" s="59" t="s">
        <v>1967</v>
      </c>
      <c r="AZ106" s="59" t="s">
        <v>1966</v>
      </c>
      <c r="BD106" s="7" t="s">
        <v>1962</v>
      </c>
      <c r="BE106" s="7">
        <v>3.625</v>
      </c>
      <c r="BF106" s="7" t="s">
        <v>1965</v>
      </c>
      <c r="BG106" s="170" t="s">
        <v>1960</v>
      </c>
      <c r="BH106" s="7"/>
      <c r="BM106" t="s">
        <v>1964</v>
      </c>
      <c r="BN106">
        <f>BE107*B100</f>
        <v>7.1203667636382664E-5</v>
      </c>
      <c r="BO106" t="s">
        <v>1942</v>
      </c>
      <c r="BR106" s="7" t="s">
        <v>1997</v>
      </c>
      <c r="BS106" s="7" t="s">
        <v>1971</v>
      </c>
      <c r="BT106" s="7">
        <f>BT105*((1/12)^3)</f>
        <v>5.37037037037037E-3</v>
      </c>
      <c r="BU106" s="7"/>
      <c r="BV106" s="7"/>
      <c r="CD106" s="219">
        <f t="shared" ref="CD106:CD138" si="9">P106*(Q107-Q106)</f>
        <v>0</v>
      </c>
      <c r="CE106" s="220">
        <f t="shared" ref="CE106:CE138" si="10">O106</f>
        <v>1</v>
      </c>
      <c r="CF106" s="76"/>
      <c r="CG106" s="11" t="s">
        <v>706</v>
      </c>
      <c r="CH106" s="166">
        <f>S118</f>
        <v>0.39815244721614995</v>
      </c>
      <c r="CI106" s="42"/>
      <c r="CJ106" s="42"/>
      <c r="CK106" s="42"/>
      <c r="CL106" s="76"/>
      <c r="CM106" s="11" t="s">
        <v>706</v>
      </c>
      <c r="CN106" s="166">
        <f>S124</f>
        <v>0.39616287543559164</v>
      </c>
      <c r="CO106" s="42"/>
      <c r="CP106" s="42"/>
      <c r="CQ106" s="42"/>
      <c r="CR106" s="76"/>
    </row>
    <row r="107" spans="1:96" ht="15.75" x14ac:dyDescent="0.25">
      <c r="A107" s="186">
        <v>1.0300000000000001E-3</v>
      </c>
      <c r="B107" s="152">
        <v>7.11E-3</v>
      </c>
      <c r="C107" s="152">
        <v>2</v>
      </c>
      <c r="D107" s="151">
        <f t="shared" si="0"/>
        <v>1.1012326552930881E-2</v>
      </c>
      <c r="E107" s="150">
        <f t="shared" si="0"/>
        <v>7.6017127952755878E-2</v>
      </c>
      <c r="G107" s="183">
        <v>4.2500000000000003E-3</v>
      </c>
      <c r="H107" s="156">
        <v>-1.115E-2</v>
      </c>
      <c r="I107" s="156">
        <v>2</v>
      </c>
      <c r="J107" s="148">
        <f t="shared" si="1"/>
        <v>4.5439211504811887E-2</v>
      </c>
      <c r="K107" s="155">
        <f t="shared" si="1"/>
        <v>-0.11921110783027117</v>
      </c>
      <c r="M107" s="149">
        <f>D107</f>
        <v>1.1012326552930881E-2</v>
      </c>
      <c r="N107" s="148">
        <f t="shared" ref="N107:N117" si="11">((K107-K106)/(J107-J106))*(M107-J106)+K106</f>
        <v>-2.88911626035716E-2</v>
      </c>
      <c r="O107" s="148">
        <v>2</v>
      </c>
      <c r="P107" s="149">
        <f t="shared" si="2"/>
        <v>0.10490829055632747</v>
      </c>
      <c r="Q107" s="148">
        <f t="shared" si="3"/>
        <v>1.1012326552930881E-2</v>
      </c>
      <c r="R107" s="202">
        <f t="shared" si="4"/>
        <v>1.0300000000000001E-3</v>
      </c>
      <c r="S107" s="203">
        <f t="shared" ref="S107:S138" si="12">(E107+N107)/2</f>
        <v>2.3562982674592139E-2</v>
      </c>
      <c r="T107" s="208"/>
      <c r="U107" s="135"/>
      <c r="V107" s="135"/>
      <c r="Y107" s="212" t="s">
        <v>2047</v>
      </c>
      <c r="AA107" t="s">
        <v>2054</v>
      </c>
      <c r="AB107">
        <v>0.312</v>
      </c>
      <c r="AG107" s="136">
        <f t="shared" si="5"/>
        <v>2</v>
      </c>
      <c r="AH107" s="136">
        <f t="shared" si="6"/>
        <v>1.1012326552930881E-2</v>
      </c>
      <c r="AI107" s="136">
        <f t="shared" si="7"/>
        <v>-2.88911626035716E-2</v>
      </c>
      <c r="AJ107" s="136">
        <f t="shared" si="8"/>
        <v>7.6017127952755878E-2</v>
      </c>
      <c r="AK107" s="70">
        <f t="shared" ref="AK107:AK138" si="13">ATAN((AI107-AI106)/(AH107-AH106))</f>
        <v>-1.2066309074867423</v>
      </c>
      <c r="AL107" s="70">
        <f t="shared" ref="AL107:AL138" si="14">AK107*180/(PI())</f>
        <v>-69.134858429030814</v>
      </c>
      <c r="AM107" s="111">
        <f t="shared" ref="AM107:AM138" si="15">ATAN((AJ107-AJ106)/(AH107-AH106))</f>
        <v>1.426930770796375</v>
      </c>
      <c r="AN107" s="111">
        <f t="shared" ref="AN107:AN138" si="16">AM107*180/(PI())</f>
        <v>81.757110823981719</v>
      </c>
      <c r="AO107" s="142">
        <f t="shared" ref="AO107:AO138" si="17">ATAN2(AJ107-AJ106,AH107-AH106)</f>
        <v>0.14386555599852174</v>
      </c>
      <c r="AP107" s="142">
        <f t="shared" ref="AP107:AP138" si="18">AO107*180/(PI())</f>
        <v>8.2428891760183003</v>
      </c>
      <c r="AR107" s="111">
        <f t="shared" ref="AR107:AR138" si="19">((((E107-E106)^2+(D107-D106)^2)^(1/2)))</f>
        <v>7.6810644303338879E-2</v>
      </c>
      <c r="AS107" s="70">
        <f t="shared" ref="AS107:AS138" si="20">(((N107-N106)^2+(M107-M106)^2)^(1/2))</f>
        <v>3.0918774437134481E-2</v>
      </c>
      <c r="AW107">
        <f t="shared" ref="AW107:AW137" si="21">AR107*E107</f>
        <v>5.8389245761405308E-3</v>
      </c>
      <c r="AX107">
        <f t="shared" ref="AX107:AX137" si="22">AS107*ABS(N107)</f>
        <v>8.932793397664053E-4</v>
      </c>
      <c r="AZ107">
        <f t="shared" ref="AZ107:BA138" si="23">AW107*$C$100</f>
        <v>6.2427324417857325E-4</v>
      </c>
      <c r="BA107">
        <f t="shared" si="23"/>
        <v>9.5505667888292714E-5</v>
      </c>
      <c r="BD107" s="7" t="s">
        <v>1962</v>
      </c>
      <c r="BE107">
        <v>7.9917475000000002E-3</v>
      </c>
      <c r="BF107" s="7" t="s">
        <v>1961</v>
      </c>
      <c r="BG107" s="170" t="s">
        <v>1960</v>
      </c>
      <c r="BH107" s="7"/>
      <c r="BR107" s="7" t="s">
        <v>1988</v>
      </c>
      <c r="BS107" s="7" t="s">
        <v>1971</v>
      </c>
      <c r="BT107" s="7">
        <f>6/(12^3)</f>
        <v>3.472222222222222E-3</v>
      </c>
      <c r="BV107" s="7"/>
      <c r="CC107" s="89"/>
      <c r="CD107" s="221">
        <f t="shared" si="9"/>
        <v>5.1483060034530001E-3</v>
      </c>
      <c r="CE107" s="222">
        <f t="shared" si="10"/>
        <v>2</v>
      </c>
      <c r="CF107" s="215"/>
      <c r="CG107" s="77"/>
      <c r="CH107" s="42"/>
      <c r="CI107" s="42"/>
      <c r="CJ107" s="19"/>
      <c r="CK107" s="19"/>
      <c r="CL107" s="215"/>
      <c r="CM107" s="230"/>
      <c r="CN107" s="42"/>
      <c r="CO107" s="42"/>
      <c r="CP107" s="42"/>
      <c r="CQ107" s="42"/>
      <c r="CR107" s="76"/>
    </row>
    <row r="108" spans="1:96" ht="15.75" x14ac:dyDescent="0.25">
      <c r="A108" s="186">
        <v>5.62E-3</v>
      </c>
      <c r="B108" s="152">
        <v>1.8710000000000001E-2</v>
      </c>
      <c r="C108" s="152">
        <v>3</v>
      </c>
      <c r="D108" s="233">
        <f t="shared" si="0"/>
        <v>6.008667497812771E-2</v>
      </c>
      <c r="E108" s="150">
        <f t="shared" si="0"/>
        <v>0.20003944641294832</v>
      </c>
      <c r="G108" s="183">
        <v>1.414E-2</v>
      </c>
      <c r="H108" s="156">
        <v>-1.7010000000000001E-2</v>
      </c>
      <c r="I108" s="156">
        <v>3</v>
      </c>
      <c r="J108" s="148">
        <f t="shared" si="1"/>
        <v>0.15117892957130352</v>
      </c>
      <c r="K108" s="155">
        <f t="shared" si="1"/>
        <v>-0.18186376181102357</v>
      </c>
      <c r="M108" s="149">
        <f t="shared" ref="M108:M138" si="24">D108</f>
        <v>6.008667497812771E-2</v>
      </c>
      <c r="N108" s="148">
        <f t="shared" si="11"/>
        <v>-0.12788998911981928</v>
      </c>
      <c r="O108" s="148">
        <v>3</v>
      </c>
      <c r="P108" s="149">
        <f t="shared" si="2"/>
        <v>0.3279294355327676</v>
      </c>
      <c r="Q108" s="148">
        <f t="shared" si="3"/>
        <v>6.008667497812771E-2</v>
      </c>
      <c r="R108" s="202">
        <f t="shared" si="4"/>
        <v>5.62E-3</v>
      </c>
      <c r="S108" s="203">
        <f t="shared" si="12"/>
        <v>3.6074728646564524E-2</v>
      </c>
      <c r="T108" s="208"/>
      <c r="U108" s="135"/>
      <c r="V108" s="135"/>
      <c r="Y108" s="212" t="s">
        <v>2048</v>
      </c>
      <c r="AA108" t="s">
        <v>2055</v>
      </c>
      <c r="AB108">
        <v>0.23599999999999999</v>
      </c>
      <c r="AG108" s="136">
        <f t="shared" si="5"/>
        <v>3</v>
      </c>
      <c r="AH108" s="136">
        <f t="shared" si="6"/>
        <v>6.008667497812771E-2</v>
      </c>
      <c r="AI108" s="136">
        <f t="shared" si="7"/>
        <v>-0.12788998911981928</v>
      </c>
      <c r="AJ108" s="136">
        <f t="shared" si="8"/>
        <v>0.20003944641294832</v>
      </c>
      <c r="AK108" s="70">
        <f t="shared" si="13"/>
        <v>-1.1105895217132049</v>
      </c>
      <c r="AL108" s="70">
        <f t="shared" si="14"/>
        <v>-63.632092365619343</v>
      </c>
      <c r="AM108" s="111">
        <f t="shared" si="15"/>
        <v>1.1940112781430132</v>
      </c>
      <c r="AN108" s="111">
        <f t="shared" si="16"/>
        <v>68.41180692861569</v>
      </c>
      <c r="AO108" s="142">
        <f t="shared" si="17"/>
        <v>0.37678504865188334</v>
      </c>
      <c r="AP108" s="142">
        <f t="shared" si="18"/>
        <v>21.588193071384303</v>
      </c>
      <c r="AR108" s="111">
        <f t="shared" si="19"/>
        <v>0.13337851082389177</v>
      </c>
      <c r="AS108" s="70">
        <f t="shared" si="20"/>
        <v>0.11049461219874804</v>
      </c>
      <c r="AW108">
        <f t="shared" si="21"/>
        <v>2.6680963468594745E-2</v>
      </c>
      <c r="AX108">
        <f t="shared" si="22"/>
        <v>1.4131154751896536E-2</v>
      </c>
      <c r="AZ108">
        <f t="shared" si="23"/>
        <v>2.8526163345920842E-3</v>
      </c>
      <c r="BA108">
        <f t="shared" si="23"/>
        <v>1.5108435990085979E-3</v>
      </c>
      <c r="BD108" s="7"/>
      <c r="BE108" s="7"/>
      <c r="BF108" s="7"/>
      <c r="BG108" s="7"/>
      <c r="BH108" s="7"/>
      <c r="BR108" s="7" t="s">
        <v>1972</v>
      </c>
      <c r="BS108" s="19" t="s">
        <v>1975</v>
      </c>
      <c r="BT108" s="7">
        <f>16.1</f>
        <v>16.100000000000001</v>
      </c>
      <c r="BU108" s="7"/>
      <c r="BV108" s="7"/>
      <c r="CD108" s="219">
        <f t="shared" si="9"/>
        <v>2.9731588289160695E-2</v>
      </c>
      <c r="CE108" s="220">
        <f t="shared" si="10"/>
        <v>3</v>
      </c>
      <c r="CF108" s="76"/>
      <c r="CG108" s="230" t="s">
        <v>2056</v>
      </c>
      <c r="CH108" s="19">
        <v>0.01</v>
      </c>
      <c r="CI108" s="19"/>
      <c r="CJ108" s="42" t="s">
        <v>2095</v>
      </c>
      <c r="CK108" s="288" t="s">
        <v>2096</v>
      </c>
      <c r="CL108" s="289" t="s">
        <v>2097</v>
      </c>
      <c r="CM108" s="230" t="s">
        <v>2056</v>
      </c>
      <c r="CN108" s="19">
        <v>0.01</v>
      </c>
      <c r="CO108" s="19"/>
      <c r="CP108" s="42" t="s">
        <v>2095</v>
      </c>
      <c r="CQ108" s="288" t="s">
        <v>2096</v>
      </c>
      <c r="CR108" s="289" t="s">
        <v>2097</v>
      </c>
    </row>
    <row r="109" spans="1:96" x14ac:dyDescent="0.25">
      <c r="A109" s="186">
        <v>1.41E-2</v>
      </c>
      <c r="B109" s="152">
        <v>3.0810000000000001E-2</v>
      </c>
      <c r="C109" s="152">
        <v>4</v>
      </c>
      <c r="D109" s="151">
        <f t="shared" si="0"/>
        <v>0.15075126640419942</v>
      </c>
      <c r="E109" s="150">
        <f t="shared" si="0"/>
        <v>0.32940755446194214</v>
      </c>
      <c r="G109" s="183">
        <v>2.9909999999999999E-2</v>
      </c>
      <c r="H109" s="156">
        <v>-2.205E-2</v>
      </c>
      <c r="I109" s="156">
        <v>4</v>
      </c>
      <c r="J109" s="148">
        <f t="shared" si="1"/>
        <v>0.31978513320209961</v>
      </c>
      <c r="K109" s="155">
        <f t="shared" si="1"/>
        <v>-0.23574932086614164</v>
      </c>
      <c r="M109" s="149">
        <f t="shared" si="24"/>
        <v>0.15075126640419942</v>
      </c>
      <c r="N109" s="148">
        <f t="shared" si="11"/>
        <v>-0.18172708315774488</v>
      </c>
      <c r="O109" s="148">
        <v>4</v>
      </c>
      <c r="P109" s="149">
        <f t="shared" si="2"/>
        <v>0.51113463761968703</v>
      </c>
      <c r="Q109" s="148">
        <f t="shared" si="3"/>
        <v>0.15075126640419942</v>
      </c>
      <c r="R109" s="202">
        <f t="shared" si="4"/>
        <v>1.41E-2</v>
      </c>
      <c r="S109" s="203">
        <f t="shared" si="12"/>
        <v>7.3840235652098629E-2</v>
      </c>
      <c r="T109" s="208"/>
      <c r="U109" s="135"/>
      <c r="V109" s="135"/>
      <c r="AG109" s="136">
        <f t="shared" si="5"/>
        <v>4</v>
      </c>
      <c r="AH109" s="136">
        <f t="shared" si="6"/>
        <v>0.15075126640419942</v>
      </c>
      <c r="AI109" s="136">
        <f t="shared" si="7"/>
        <v>-0.18172708315774488</v>
      </c>
      <c r="AJ109" s="136">
        <f t="shared" si="8"/>
        <v>0.32940755446194214</v>
      </c>
      <c r="AK109" s="70">
        <f t="shared" si="13"/>
        <v>-0.5358519528246134</v>
      </c>
      <c r="AL109" s="70">
        <f t="shared" si="14"/>
        <v>-30.70205534069364</v>
      </c>
      <c r="AM109" s="111">
        <f t="shared" si="15"/>
        <v>0.95951591580027118</v>
      </c>
      <c r="AN109" s="111">
        <f t="shared" si="16"/>
        <v>54.976212350985605</v>
      </c>
      <c r="AO109" s="142">
        <f t="shared" si="17"/>
        <v>0.61128041099462538</v>
      </c>
      <c r="AP109" s="142">
        <f t="shared" si="18"/>
        <v>35.023787649014395</v>
      </c>
      <c r="AR109" s="111">
        <f t="shared" si="19"/>
        <v>0.15797523704249553</v>
      </c>
      <c r="AS109" s="70">
        <f t="shared" si="20"/>
        <v>0.10544430204095885</v>
      </c>
      <c r="AW109">
        <f t="shared" si="21"/>
        <v>5.2038236499714063E-2</v>
      </c>
      <c r="AX109">
        <f t="shared" si="22"/>
        <v>1.9162085445507699E-2</v>
      </c>
      <c r="AZ109">
        <f t="shared" si="23"/>
        <v>5.5637092579951261E-3</v>
      </c>
      <c r="BA109">
        <f t="shared" si="23"/>
        <v>2.0487295374863566E-3</v>
      </c>
      <c r="BD109" s="7"/>
      <c r="BE109" s="7"/>
      <c r="BF109" s="7"/>
      <c r="BG109" s="7"/>
      <c r="BH109" s="7"/>
      <c r="BR109" s="7" t="s">
        <v>1972</v>
      </c>
      <c r="BS109" s="7" t="s">
        <v>1971</v>
      </c>
      <c r="BT109" s="7">
        <f>BT108*((1/12)^3)</f>
        <v>9.3171296296296301E-3</v>
      </c>
      <c r="BU109" s="7"/>
      <c r="BV109" s="7"/>
      <c r="CD109" s="219">
        <f t="shared" si="9"/>
        <v>6.7763971961724831E-2</v>
      </c>
      <c r="CE109" s="220">
        <f t="shared" si="10"/>
        <v>4</v>
      </c>
      <c r="CF109" s="76"/>
      <c r="CG109" s="230" t="s">
        <v>2056</v>
      </c>
      <c r="CH109" s="42" t="s">
        <v>2057</v>
      </c>
      <c r="CI109" s="42" t="s">
        <v>2058</v>
      </c>
      <c r="CJ109" s="42" t="s">
        <v>2059</v>
      </c>
      <c r="CK109" s="42" t="s">
        <v>2057</v>
      </c>
      <c r="CL109" s="76" t="s">
        <v>2058</v>
      </c>
      <c r="CM109" s="230" t="s">
        <v>2056</v>
      </c>
      <c r="CN109" s="42" t="s">
        <v>2057</v>
      </c>
      <c r="CO109" s="42" t="s">
        <v>2058</v>
      </c>
      <c r="CP109" s="42" t="s">
        <v>2059</v>
      </c>
      <c r="CQ109" s="42" t="s">
        <v>2057</v>
      </c>
      <c r="CR109" s="76" t="s">
        <v>2058</v>
      </c>
    </row>
    <row r="110" spans="1:96" x14ac:dyDescent="0.25">
      <c r="A110" s="186">
        <v>2.6499999999999999E-2</v>
      </c>
      <c r="B110" s="152">
        <v>4.2999999999999997E-2</v>
      </c>
      <c r="C110" s="152">
        <v>5</v>
      </c>
      <c r="D110" s="151">
        <f t="shared" si="0"/>
        <v>0.28332684820647408</v>
      </c>
      <c r="E110" s="150">
        <f t="shared" si="0"/>
        <v>0.45973790463692016</v>
      </c>
      <c r="G110" s="183">
        <v>5.0990000000000001E-2</v>
      </c>
      <c r="H110" s="156">
        <v>-2.623E-2</v>
      </c>
      <c r="I110" s="156">
        <v>5</v>
      </c>
      <c r="J110" s="148">
        <f t="shared" si="1"/>
        <v>0.5451636222659666</v>
      </c>
      <c r="K110" s="155">
        <f t="shared" si="1"/>
        <v>-0.28044012182852135</v>
      </c>
      <c r="M110" s="149">
        <f t="shared" si="24"/>
        <v>0.28332684820647408</v>
      </c>
      <c r="N110" s="148">
        <f t="shared" si="11"/>
        <v>-0.2285199265928155</v>
      </c>
      <c r="O110" s="148">
        <v>5</v>
      </c>
      <c r="P110" s="149">
        <f t="shared" si="2"/>
        <v>0.68825783122973561</v>
      </c>
      <c r="Q110" s="148">
        <f t="shared" si="3"/>
        <v>0.28332684820647408</v>
      </c>
      <c r="R110" s="202">
        <f t="shared" si="4"/>
        <v>2.6499999999999999E-2</v>
      </c>
      <c r="S110" s="203">
        <f t="shared" si="12"/>
        <v>0.11560898902205233</v>
      </c>
      <c r="T110" s="208"/>
      <c r="U110" s="135"/>
      <c r="V110" s="135"/>
      <c r="AG110" s="136">
        <f t="shared" si="5"/>
        <v>5</v>
      </c>
      <c r="AH110" s="136">
        <f t="shared" si="6"/>
        <v>0.28332684820647408</v>
      </c>
      <c r="AI110" s="136">
        <f t="shared" si="7"/>
        <v>-0.2285199265928155</v>
      </c>
      <c r="AJ110" s="136">
        <f t="shared" si="8"/>
        <v>0.45973790463692016</v>
      </c>
      <c r="AK110" s="70">
        <f t="shared" si="13"/>
        <v>-0.33930241803316458</v>
      </c>
      <c r="AL110" s="70">
        <f t="shared" si="14"/>
        <v>-19.440596531883884</v>
      </c>
      <c r="AM110" s="111">
        <f t="shared" si="15"/>
        <v>0.77685831407075745</v>
      </c>
      <c r="AN110" s="111">
        <f t="shared" si="16"/>
        <v>44.510702675902984</v>
      </c>
      <c r="AO110" s="142">
        <f t="shared" si="17"/>
        <v>0.79393801272413911</v>
      </c>
      <c r="AP110" s="142">
        <f t="shared" si="18"/>
        <v>45.489297324097024</v>
      </c>
      <c r="AR110" s="111">
        <f t="shared" si="19"/>
        <v>0.18590934636791132</v>
      </c>
      <c r="AS110" s="70">
        <f t="shared" si="20"/>
        <v>0.14059109177665083</v>
      </c>
      <c r="AW110">
        <f t="shared" si="21"/>
        <v>8.5469573351602976E-2</v>
      </c>
      <c r="AX110">
        <f t="shared" si="22"/>
        <v>3.2127865972404038E-2</v>
      </c>
      <c r="AZ110">
        <f t="shared" si="23"/>
        <v>9.1380471076459302E-3</v>
      </c>
      <c r="BA110">
        <f t="shared" si="23"/>
        <v>3.4349762285136838E-3</v>
      </c>
      <c r="BD110" s="7"/>
      <c r="BE110" s="7"/>
      <c r="BF110" s="7"/>
      <c r="BG110" s="7"/>
      <c r="BH110" s="7"/>
      <c r="BR110" s="7" t="s">
        <v>1959</v>
      </c>
      <c r="BS110" s="19" t="s">
        <v>1963</v>
      </c>
      <c r="BT110" s="7">
        <v>4.5335840000000003</v>
      </c>
      <c r="BU110" s="7"/>
      <c r="BV110" s="7"/>
      <c r="CD110" s="219">
        <f t="shared" si="9"/>
        <v>0.11935589343654993</v>
      </c>
      <c r="CE110" s="220">
        <f t="shared" si="10"/>
        <v>5</v>
      </c>
      <c r="CF110" s="76"/>
      <c r="CG110" s="221"/>
      <c r="CH110" s="42"/>
      <c r="CI110" s="42"/>
      <c r="CJ110" s="42"/>
      <c r="CK110" s="42"/>
      <c r="CL110" s="76"/>
      <c r="CM110" s="77"/>
      <c r="CN110" s="42"/>
      <c r="CO110" s="42"/>
      <c r="CP110" s="42"/>
      <c r="CQ110" s="42"/>
      <c r="CR110" s="76"/>
    </row>
    <row r="111" spans="1:96" x14ac:dyDescent="0.25">
      <c r="A111" s="186">
        <v>4.2720000000000001E-2</v>
      </c>
      <c r="B111" s="152">
        <v>5.491E-2</v>
      </c>
      <c r="C111" s="152">
        <v>6</v>
      </c>
      <c r="D111" s="151">
        <f t="shared" si="0"/>
        <v>0.45674426246719141</v>
      </c>
      <c r="E111" s="150">
        <f t="shared" si="0"/>
        <v>0.58707461264216954</v>
      </c>
      <c r="G111" s="183">
        <v>7.7100000000000002E-2</v>
      </c>
      <c r="H111" s="156">
        <v>-2.9479999999999999E-2</v>
      </c>
      <c r="I111" s="156">
        <v>6</v>
      </c>
      <c r="J111" s="148">
        <f t="shared" si="1"/>
        <v>0.82432075459317555</v>
      </c>
      <c r="K111" s="155">
        <f t="shared" si="1"/>
        <v>-0.31518775415573042</v>
      </c>
      <c r="M111" s="149">
        <f t="shared" si="24"/>
        <v>0.45674426246719141</v>
      </c>
      <c r="N111" s="148">
        <f t="shared" si="11"/>
        <v>-0.26943426509370638</v>
      </c>
      <c r="O111" s="148">
        <v>6</v>
      </c>
      <c r="P111" s="149">
        <f t="shared" si="2"/>
        <v>0.85650887773587592</v>
      </c>
      <c r="Q111" s="148">
        <f t="shared" si="3"/>
        <v>0.45674426246719141</v>
      </c>
      <c r="R111" s="202">
        <f t="shared" si="4"/>
        <v>4.2720000000000001E-2</v>
      </c>
      <c r="S111" s="203">
        <f t="shared" si="12"/>
        <v>0.15882017377423158</v>
      </c>
      <c r="T111" s="208"/>
      <c r="U111" s="135"/>
      <c r="V111" s="135"/>
      <c r="Y111" t="s">
        <v>2040</v>
      </c>
      <c r="Z111" t="s">
        <v>2049</v>
      </c>
      <c r="AA111" s="32" t="s">
        <v>2050</v>
      </c>
      <c r="AG111" s="136">
        <f t="shared" si="5"/>
        <v>6</v>
      </c>
      <c r="AH111" s="136">
        <f t="shared" si="6"/>
        <v>0.45674426246719141</v>
      </c>
      <c r="AI111" s="136">
        <f t="shared" si="7"/>
        <v>-0.26943426509370638</v>
      </c>
      <c r="AJ111" s="136">
        <f t="shared" si="8"/>
        <v>0.58707461264216954</v>
      </c>
      <c r="AK111" s="70">
        <f t="shared" si="13"/>
        <v>-0.23169293125956938</v>
      </c>
      <c r="AL111" s="70">
        <f t="shared" si="14"/>
        <v>-13.275027104188027</v>
      </c>
      <c r="AM111" s="111">
        <f t="shared" si="15"/>
        <v>0.63336329887184584</v>
      </c>
      <c r="AN111" s="111">
        <f t="shared" si="16"/>
        <v>36.289043923839742</v>
      </c>
      <c r="AO111" s="142">
        <f t="shared" si="17"/>
        <v>0.93743302792305083</v>
      </c>
      <c r="AP111" s="142">
        <f t="shared" si="18"/>
        <v>53.710956076160272</v>
      </c>
      <c r="AR111" s="111">
        <f t="shared" si="19"/>
        <v>0.21514701200455327</v>
      </c>
      <c r="AS111" s="70">
        <f t="shared" si="20"/>
        <v>0.17817851347409633</v>
      </c>
      <c r="AW111">
        <f t="shared" si="21"/>
        <v>0.12630734873369331</v>
      </c>
      <c r="AX111">
        <f t="shared" si="22"/>
        <v>4.8007396833382204E-2</v>
      </c>
      <c r="AZ111">
        <f t="shared" si="23"/>
        <v>1.3504250196993701E-2</v>
      </c>
      <c r="BA111">
        <f t="shared" si="23"/>
        <v>5.1327488435470355E-3</v>
      </c>
      <c r="BD111" s="7"/>
      <c r="BE111" s="7"/>
      <c r="BF111" s="7"/>
      <c r="BG111" s="7"/>
      <c r="BH111" s="7"/>
      <c r="BR111" s="7" t="s">
        <v>1959</v>
      </c>
      <c r="BS111" s="7" t="s">
        <v>1958</v>
      </c>
      <c r="BT111">
        <f>BT110*(12^2)</f>
        <v>652.836096</v>
      </c>
      <c r="BU111" s="7"/>
      <c r="BV111" s="7"/>
      <c r="CD111" s="219">
        <f t="shared" si="9"/>
        <v>0.18287392667817756</v>
      </c>
      <c r="CE111" s="223">
        <f t="shared" si="10"/>
        <v>6</v>
      </c>
      <c r="CF111" s="76"/>
      <c r="CG111" s="221">
        <f>-AB113/2</f>
        <v>-0.127</v>
      </c>
      <c r="CH111" s="204">
        <f t="shared" ref="CH111:CH137" si="25">SQRT((($AB$113/2)^2)-((CG111^2)))</f>
        <v>0</v>
      </c>
      <c r="CI111" s="42">
        <f t="shared" ref="CI111:CI137" si="26">-SQRT((($AB$113/2)^2)-((CG111^2)))</f>
        <v>0</v>
      </c>
      <c r="CJ111" s="204">
        <f t="shared" ref="CJ111:CJ137" si="27">CG111+$CH$105</f>
        <v>2.5989250271216093</v>
      </c>
      <c r="CK111" s="204">
        <f t="shared" ref="CK111:CL137" si="28">CH111+$CH$106</f>
        <v>0.39815244721614995</v>
      </c>
      <c r="CL111" s="214">
        <f t="shared" si="28"/>
        <v>0.39815244721614995</v>
      </c>
      <c r="CM111" s="77">
        <f>-AB113/2</f>
        <v>-0.127</v>
      </c>
      <c r="CN111" s="204">
        <f t="shared" ref="CN111:CN137" si="29">SQRT((($AB$113/2)^2)-((CM111^2)))</f>
        <v>0</v>
      </c>
      <c r="CO111" s="42">
        <f t="shared" ref="CO111:CO137" si="30">-SQRT((($AB$113/2)^2)-((CM111^2)))</f>
        <v>0</v>
      </c>
      <c r="CP111" s="204">
        <f>CM111+$CN$105</f>
        <v>5.5739638490813634</v>
      </c>
      <c r="CQ111" s="204">
        <f>CN111+$CN$106</f>
        <v>0.39616287543559164</v>
      </c>
      <c r="CR111" s="214">
        <f>CO111+$CN$106</f>
        <v>0.39616287543559164</v>
      </c>
    </row>
    <row r="112" spans="1:96" ht="15.75" x14ac:dyDescent="0.25">
      <c r="A112" s="186">
        <v>6.2689999999999996E-2</v>
      </c>
      <c r="B112" s="152">
        <v>6.6159999999999997E-2</v>
      </c>
      <c r="C112" s="152">
        <v>7</v>
      </c>
      <c r="D112" s="151">
        <f t="shared" si="0"/>
        <v>0.67025509864391919</v>
      </c>
      <c r="E112" s="150">
        <f t="shared" si="0"/>
        <v>0.70735487839020095</v>
      </c>
      <c r="G112" s="183">
        <v>0.10798000000000001</v>
      </c>
      <c r="H112" s="156">
        <v>-3.1789999999999999E-2</v>
      </c>
      <c r="I112" s="156">
        <v>7</v>
      </c>
      <c r="J112" s="148">
        <f t="shared" si="1"/>
        <v>1.1544767195975498</v>
      </c>
      <c r="K112" s="155">
        <f t="shared" si="1"/>
        <v>-0.33988530205599288</v>
      </c>
      <c r="M112" s="149">
        <f t="shared" si="24"/>
        <v>0.67025509864391919</v>
      </c>
      <c r="N112" s="148">
        <f t="shared" si="11"/>
        <v>-0.30366276499631389</v>
      </c>
      <c r="O112" s="148">
        <v>7</v>
      </c>
      <c r="P112" s="149">
        <f t="shared" si="2"/>
        <v>1.0110176433865148</v>
      </c>
      <c r="Q112" s="148">
        <f t="shared" si="3"/>
        <v>0.67025509864391919</v>
      </c>
      <c r="R112" s="202">
        <f t="shared" si="4"/>
        <v>6.2689999999999996E-2</v>
      </c>
      <c r="S112" s="203">
        <f t="shared" si="12"/>
        <v>0.20184605669694353</v>
      </c>
      <c r="T112" s="208"/>
      <c r="U112" s="135"/>
      <c r="V112" s="135"/>
      <c r="Y112" s="212" t="s">
        <v>1962</v>
      </c>
      <c r="AG112" s="136">
        <f t="shared" si="5"/>
        <v>7</v>
      </c>
      <c r="AH112" s="136">
        <f t="shared" si="6"/>
        <v>0.67025509864391919</v>
      </c>
      <c r="AI112" s="136">
        <f t="shared" si="7"/>
        <v>-0.30366276499631389</v>
      </c>
      <c r="AJ112" s="136">
        <f t="shared" si="8"/>
        <v>0.70735487839020095</v>
      </c>
      <c r="AK112" s="70">
        <f t="shared" si="13"/>
        <v>-0.15896014782563328</v>
      </c>
      <c r="AL112" s="70">
        <f t="shared" si="14"/>
        <v>-9.1077455811844565</v>
      </c>
      <c r="AM112" s="111">
        <f t="shared" si="15"/>
        <v>0.51303114095085489</v>
      </c>
      <c r="AN112" s="111">
        <f t="shared" si="16"/>
        <v>29.394519135265242</v>
      </c>
      <c r="AO112" s="142">
        <f t="shared" si="17"/>
        <v>1.0577651858440418</v>
      </c>
      <c r="AP112" s="142">
        <f t="shared" si="18"/>
        <v>60.605480864734758</v>
      </c>
      <c r="AR112" s="111">
        <f t="shared" si="19"/>
        <v>0.24505962436375059</v>
      </c>
      <c r="AS112" s="70">
        <f t="shared" si="20"/>
        <v>0.21623706289734027</v>
      </c>
      <c r="AW112">
        <f t="shared" si="21"/>
        <v>0.17334412079016912</v>
      </c>
      <c r="AX112">
        <f t="shared" si="22"/>
        <v>6.5663144414088187E-2</v>
      </c>
      <c r="AZ112">
        <f t="shared" si="23"/>
        <v>1.8533223924000357E-2</v>
      </c>
      <c r="BA112">
        <f t="shared" si="23"/>
        <v>7.0204270755359049E-3</v>
      </c>
      <c r="BD112" s="7"/>
      <c r="BE112" s="7"/>
      <c r="BF112" s="7"/>
      <c r="BG112" s="7"/>
      <c r="BH112" s="7"/>
      <c r="BR112" s="7" t="s">
        <v>1957</v>
      </c>
      <c r="BS112" s="7" t="s">
        <v>701</v>
      </c>
      <c r="BT112" s="7">
        <f>1/32</f>
        <v>3.125E-2</v>
      </c>
      <c r="BU112" s="7"/>
      <c r="BV112" s="7"/>
      <c r="BW112">
        <f>1/32</f>
        <v>3.125E-2</v>
      </c>
      <c r="CD112" s="219">
        <f t="shared" si="9"/>
        <v>0.25596600436233702</v>
      </c>
      <c r="CE112" s="223">
        <f t="shared" si="10"/>
        <v>7</v>
      </c>
      <c r="CF112" s="76"/>
      <c r="CG112" s="221">
        <f t="shared" ref="CG112:CG123" si="31">CG113-$CH$108</f>
        <v>-0.11999999999999998</v>
      </c>
      <c r="CH112" s="204">
        <f t="shared" si="25"/>
        <v>4.1581245772583639E-2</v>
      </c>
      <c r="CI112" s="42">
        <f t="shared" si="26"/>
        <v>-4.1581245772583639E-2</v>
      </c>
      <c r="CJ112" s="204">
        <f t="shared" si="27"/>
        <v>2.605925027121609</v>
      </c>
      <c r="CK112" s="204">
        <f t="shared" si="28"/>
        <v>0.4397336929887336</v>
      </c>
      <c r="CL112" s="214">
        <f t="shared" si="28"/>
        <v>0.3565712014435663</v>
      </c>
      <c r="CM112" s="221">
        <f t="shared" ref="CM112:CM122" si="32">CM113-$CN$108</f>
        <v>-0.11999999999999998</v>
      </c>
      <c r="CN112" s="204">
        <f t="shared" si="29"/>
        <v>4.1581245772583639E-2</v>
      </c>
      <c r="CO112" s="42">
        <f t="shared" si="30"/>
        <v>-4.1581245772583639E-2</v>
      </c>
      <c r="CP112" s="204">
        <f t="shared" ref="CP112:CP137" si="33">CM112+$CN$105</f>
        <v>5.5809638490813631</v>
      </c>
      <c r="CQ112" s="204">
        <f t="shared" ref="CQ112:CR137" si="34">CN112+$CN$106</f>
        <v>0.4377441212081753</v>
      </c>
      <c r="CR112" s="214">
        <f t="shared" si="34"/>
        <v>0.35458162966300799</v>
      </c>
    </row>
    <row r="113" spans="1:96" ht="15.75" x14ac:dyDescent="0.25">
      <c r="A113" s="186">
        <v>8.6370000000000002E-2</v>
      </c>
      <c r="B113" s="152">
        <v>7.6469999999999996E-2</v>
      </c>
      <c r="C113" s="152">
        <v>8</v>
      </c>
      <c r="D113" s="151">
        <f t="shared" si="0"/>
        <v>0.92343169356955346</v>
      </c>
      <c r="E113" s="150">
        <f t="shared" si="0"/>
        <v>0.8175850597112857</v>
      </c>
      <c r="G113" s="183">
        <v>0.14327999999999999</v>
      </c>
      <c r="H113" s="156">
        <v>-3.3189999999999997E-2</v>
      </c>
      <c r="I113" s="156">
        <v>8</v>
      </c>
      <c r="J113" s="148">
        <f t="shared" si="1"/>
        <v>1.5318894645669285</v>
      </c>
      <c r="K113" s="155">
        <f t="shared" si="1"/>
        <v>-0.35485351290463674</v>
      </c>
      <c r="M113" s="149">
        <f t="shared" si="24"/>
        <v>0.92343169356955346</v>
      </c>
      <c r="N113" s="148">
        <f t="shared" si="11"/>
        <v>-0.3307220432333528</v>
      </c>
      <c r="O113" s="148">
        <v>8</v>
      </c>
      <c r="P113" s="149">
        <f t="shared" si="2"/>
        <v>1.1483071029446386</v>
      </c>
      <c r="Q113" s="148">
        <f t="shared" si="3"/>
        <v>0.92343169356955346</v>
      </c>
      <c r="R113" s="202">
        <f t="shared" si="4"/>
        <v>8.6370000000000002E-2</v>
      </c>
      <c r="S113" s="203">
        <f t="shared" si="12"/>
        <v>0.24343150823896645</v>
      </c>
      <c r="T113" s="208"/>
      <c r="U113" s="135"/>
      <c r="V113" s="135"/>
      <c r="Y113" s="212" t="s">
        <v>2051</v>
      </c>
      <c r="AA113" t="s">
        <v>2054</v>
      </c>
      <c r="AB113">
        <v>0.254</v>
      </c>
      <c r="AG113" s="136">
        <f t="shared" si="5"/>
        <v>8</v>
      </c>
      <c r="AH113" s="136">
        <f t="shared" si="6"/>
        <v>0.92343169356955346</v>
      </c>
      <c r="AI113" s="136">
        <f t="shared" si="7"/>
        <v>-0.3307220432333528</v>
      </c>
      <c r="AJ113" s="136">
        <f t="shared" si="8"/>
        <v>0.8175850597112857</v>
      </c>
      <c r="AK113" s="70">
        <f t="shared" si="13"/>
        <v>-0.10647486900187052</v>
      </c>
      <c r="AL113" s="70">
        <f t="shared" si="14"/>
        <v>-6.1005606180154963</v>
      </c>
      <c r="AM113" s="111">
        <f t="shared" si="15"/>
        <v>0.41063680417110926</v>
      </c>
      <c r="AN113" s="111">
        <f t="shared" si="16"/>
        <v>23.527755791744639</v>
      </c>
      <c r="AO113" s="142">
        <f t="shared" si="17"/>
        <v>1.1601595226237873</v>
      </c>
      <c r="AP113" s="142">
        <f t="shared" si="18"/>
        <v>66.472244208255361</v>
      </c>
      <c r="AR113" s="111">
        <f t="shared" si="19"/>
        <v>0.27613236154463661</v>
      </c>
      <c r="AS113" s="70">
        <f t="shared" si="20"/>
        <v>0.25461852398607643</v>
      </c>
      <c r="AW113">
        <f t="shared" si="21"/>
        <v>0.22576169330169005</v>
      </c>
      <c r="AX113">
        <f t="shared" si="22"/>
        <v>8.4207958497735644E-2</v>
      </c>
      <c r="AZ113">
        <f t="shared" si="23"/>
        <v>2.4137490192046977E-2</v>
      </c>
      <c r="BA113">
        <f t="shared" si="23"/>
        <v>9.0031605566283073E-3</v>
      </c>
      <c r="BD113" s="7"/>
      <c r="BE113" s="7"/>
      <c r="BF113" s="7"/>
      <c r="BG113" s="7"/>
      <c r="BH113" s="7"/>
      <c r="BM113" t="s">
        <v>1952</v>
      </c>
      <c r="BN113">
        <f>SUM(BN105:BN111)</f>
        <v>8.9164020628279485E-4</v>
      </c>
      <c r="BP113">
        <f>BN113*2</f>
        <v>1.7832804125655897E-3</v>
      </c>
      <c r="BR113" s="7" t="s">
        <v>1956</v>
      </c>
      <c r="BS113" s="7" t="s">
        <v>701</v>
      </c>
      <c r="BT113" s="7">
        <v>0.1</v>
      </c>
      <c r="BU113" s="7"/>
      <c r="BV113" s="7"/>
      <c r="CD113" s="219">
        <f t="shared" si="9"/>
        <v>0.3346769166470272</v>
      </c>
      <c r="CE113" s="223">
        <f t="shared" si="10"/>
        <v>8</v>
      </c>
      <c r="CF113" s="76"/>
      <c r="CG113" s="221">
        <f t="shared" si="31"/>
        <v>-0.10999999999999999</v>
      </c>
      <c r="CH113" s="204">
        <f t="shared" si="25"/>
        <v>6.3474404290233419E-2</v>
      </c>
      <c r="CI113" s="42">
        <f t="shared" si="26"/>
        <v>-6.3474404290233419E-2</v>
      </c>
      <c r="CJ113" s="204">
        <f t="shared" si="27"/>
        <v>2.6159250271216092</v>
      </c>
      <c r="CK113" s="204">
        <f t="shared" si="28"/>
        <v>0.46162685150638338</v>
      </c>
      <c r="CL113" s="214">
        <f t="shared" si="28"/>
        <v>0.33467804292591652</v>
      </c>
      <c r="CM113" s="221">
        <f t="shared" si="32"/>
        <v>-0.10999999999999999</v>
      </c>
      <c r="CN113" s="204">
        <f t="shared" si="29"/>
        <v>6.3474404290233419E-2</v>
      </c>
      <c r="CO113" s="42">
        <f t="shared" si="30"/>
        <v>-6.3474404290233419E-2</v>
      </c>
      <c r="CP113" s="204">
        <f t="shared" si="33"/>
        <v>5.5909638490813629</v>
      </c>
      <c r="CQ113" s="204">
        <f t="shared" si="34"/>
        <v>0.45963727972582508</v>
      </c>
      <c r="CR113" s="214">
        <f t="shared" si="34"/>
        <v>0.33268847114535821</v>
      </c>
    </row>
    <row r="114" spans="1:96" ht="15.75" x14ac:dyDescent="0.25">
      <c r="A114" s="186">
        <v>0.11362999999999999</v>
      </c>
      <c r="B114" s="152">
        <v>8.5620000000000002E-2</v>
      </c>
      <c r="C114" s="152">
        <v>9</v>
      </c>
      <c r="D114" s="151">
        <f t="shared" si="0"/>
        <v>1.2148841419510057</v>
      </c>
      <c r="E114" s="150">
        <f t="shared" si="0"/>
        <v>0.91541300918635138</v>
      </c>
      <c r="G114" s="183">
        <v>0.18265000000000001</v>
      </c>
      <c r="H114" s="156">
        <v>-3.3669999999999999E-2</v>
      </c>
      <c r="I114" s="156">
        <v>9</v>
      </c>
      <c r="J114" s="148">
        <f t="shared" si="1"/>
        <v>1.9528169367891506</v>
      </c>
      <c r="K114" s="155">
        <f t="shared" si="1"/>
        <v>-0.35998547090988608</v>
      </c>
      <c r="M114" s="149">
        <f t="shared" si="24"/>
        <v>1.2148841419510057</v>
      </c>
      <c r="N114" s="148">
        <f t="shared" si="11"/>
        <v>-0.35098857628143015</v>
      </c>
      <c r="O114" s="148">
        <v>9</v>
      </c>
      <c r="P114" s="149">
        <f t="shared" si="2"/>
        <v>1.2664015854677815</v>
      </c>
      <c r="Q114" s="148">
        <f t="shared" si="3"/>
        <v>1.2148841419510057</v>
      </c>
      <c r="R114" s="202">
        <f t="shared" si="4"/>
        <v>0.11363000000000001</v>
      </c>
      <c r="S114" s="203">
        <f t="shared" si="12"/>
        <v>0.28221221645246064</v>
      </c>
      <c r="T114" s="208"/>
      <c r="U114" s="135"/>
      <c r="V114" s="135"/>
      <c r="Y114" s="212" t="s">
        <v>2052</v>
      </c>
      <c r="AA114" t="s">
        <v>2055</v>
      </c>
      <c r="AB114">
        <v>0.158</v>
      </c>
      <c r="AG114" s="136">
        <f t="shared" si="5"/>
        <v>9</v>
      </c>
      <c r="AH114" s="136">
        <f t="shared" si="6"/>
        <v>1.2148841419510057</v>
      </c>
      <c r="AI114" s="136">
        <f t="shared" si="7"/>
        <v>-0.35098857628143015</v>
      </c>
      <c r="AJ114" s="136">
        <f t="shared" si="8"/>
        <v>0.91541300918635138</v>
      </c>
      <c r="AK114" s="70">
        <f t="shared" si="13"/>
        <v>-6.9424575681704084E-2</v>
      </c>
      <c r="AL114" s="70">
        <f t="shared" si="14"/>
        <v>-3.9777351810482142</v>
      </c>
      <c r="AM114" s="111">
        <f t="shared" si="15"/>
        <v>0.32384007076617516</v>
      </c>
      <c r="AN114" s="111">
        <f t="shared" si="16"/>
        <v>18.554669292119748</v>
      </c>
      <c r="AO114" s="142">
        <f t="shared" si="17"/>
        <v>1.2469562560287215</v>
      </c>
      <c r="AP114" s="142">
        <f t="shared" si="18"/>
        <v>71.44533070788026</v>
      </c>
      <c r="AR114" s="111">
        <f t="shared" si="19"/>
        <v>0.30743265500925415</v>
      </c>
      <c r="AS114" s="70">
        <f t="shared" si="20"/>
        <v>0.29215622880461045</v>
      </c>
      <c r="AW114">
        <f t="shared" si="21"/>
        <v>0.28142785184417074</v>
      </c>
      <c r="AX114">
        <f t="shared" si="22"/>
        <v>0.10254349879988198</v>
      </c>
      <c r="AZ114">
        <f t="shared" si="23"/>
        <v>3.0089081607746201E-2</v>
      </c>
      <c r="BA114">
        <f t="shared" si="23"/>
        <v>1.0963519365673554E-2</v>
      </c>
      <c r="BD114" s="7"/>
      <c r="BE114" s="7"/>
      <c r="BF114" s="7"/>
      <c r="BG114" s="7"/>
      <c r="BH114" s="7"/>
      <c r="CD114" s="219">
        <f t="shared" si="9"/>
        <v>0.41553746929706747</v>
      </c>
      <c r="CE114" s="223">
        <f t="shared" si="10"/>
        <v>9</v>
      </c>
      <c r="CF114" s="76"/>
      <c r="CG114" s="221">
        <f t="shared" si="31"/>
        <v>-9.9999999999999992E-2</v>
      </c>
      <c r="CH114" s="204">
        <f t="shared" si="25"/>
        <v>7.8287930104199349E-2</v>
      </c>
      <c r="CI114" s="42">
        <f t="shared" si="26"/>
        <v>-7.8287930104199349E-2</v>
      </c>
      <c r="CJ114" s="204">
        <f t="shared" si="27"/>
        <v>2.625925027121609</v>
      </c>
      <c r="CK114" s="204">
        <f t="shared" si="28"/>
        <v>0.47644037732034927</v>
      </c>
      <c r="CL114" s="214">
        <f t="shared" si="28"/>
        <v>0.31986451711195063</v>
      </c>
      <c r="CM114" s="221">
        <f t="shared" si="32"/>
        <v>-9.9999999999999992E-2</v>
      </c>
      <c r="CN114" s="204">
        <f t="shared" si="29"/>
        <v>7.8287930104199349E-2</v>
      </c>
      <c r="CO114" s="42">
        <f t="shared" si="30"/>
        <v>-7.8287930104199349E-2</v>
      </c>
      <c r="CP114" s="204">
        <f t="shared" si="33"/>
        <v>5.6009638490813636</v>
      </c>
      <c r="CQ114" s="204">
        <f t="shared" si="34"/>
        <v>0.47445080553979102</v>
      </c>
      <c r="CR114" s="214">
        <f t="shared" si="34"/>
        <v>0.31787494533139227</v>
      </c>
    </row>
    <row r="115" spans="1:96" x14ac:dyDescent="0.25">
      <c r="A115" s="186">
        <v>0.14432</v>
      </c>
      <c r="B115" s="152">
        <v>9.3399999999999997E-2</v>
      </c>
      <c r="C115" s="152">
        <v>10</v>
      </c>
      <c r="D115" s="151">
        <f t="shared" si="0"/>
        <v>1.5430087069116354</v>
      </c>
      <c r="E115" s="150">
        <f t="shared" si="0"/>
        <v>0.99859349518810103</v>
      </c>
      <c r="G115" s="183">
        <v>0.22570000000000001</v>
      </c>
      <c r="H115" s="156">
        <v>-3.3270000000000001E-2</v>
      </c>
      <c r="I115" s="156">
        <v>10</v>
      </c>
      <c r="J115" s="148">
        <f t="shared" si="1"/>
        <v>2.4130894203849511</v>
      </c>
      <c r="K115" s="155">
        <f t="shared" si="1"/>
        <v>-0.355708839238845</v>
      </c>
      <c r="M115" s="149">
        <f t="shared" si="24"/>
        <v>1.5430087069116354</v>
      </c>
      <c r="N115" s="148">
        <f t="shared" si="11"/>
        <v>-0.36379321288319633</v>
      </c>
      <c r="O115" s="148">
        <v>10</v>
      </c>
      <c r="P115" s="149">
        <f t="shared" si="2"/>
        <v>1.3623867080712975</v>
      </c>
      <c r="Q115" s="148">
        <f t="shared" si="3"/>
        <v>1.5430087069116354</v>
      </c>
      <c r="R115" s="202">
        <f t="shared" si="4"/>
        <v>0.14432</v>
      </c>
      <c r="S115" s="203">
        <f t="shared" si="12"/>
        <v>0.31740014115245235</v>
      </c>
      <c r="T115" s="172"/>
      <c r="AG115" s="136">
        <f t="shared" si="5"/>
        <v>10</v>
      </c>
      <c r="AH115" s="136">
        <f t="shared" si="6"/>
        <v>1.5430087069116354</v>
      </c>
      <c r="AI115" s="136">
        <f t="shared" si="7"/>
        <v>-0.36379321288319633</v>
      </c>
      <c r="AJ115" s="136">
        <f t="shared" si="8"/>
        <v>0.99859349518810103</v>
      </c>
      <c r="AK115" s="70">
        <f t="shared" si="13"/>
        <v>-3.900391514546693E-2</v>
      </c>
      <c r="AL115" s="70">
        <f t="shared" si="14"/>
        <v>-2.2347597223216455</v>
      </c>
      <c r="AM115" s="111">
        <f t="shared" si="15"/>
        <v>0.24827266071206386</v>
      </c>
      <c r="AN115" s="111">
        <f t="shared" si="16"/>
        <v>14.224975627284708</v>
      </c>
      <c r="AO115" s="142">
        <f t="shared" si="17"/>
        <v>1.3225236660828328</v>
      </c>
      <c r="AP115" s="142">
        <f t="shared" si="18"/>
        <v>75.775024372715293</v>
      </c>
      <c r="AR115" s="111">
        <f t="shared" si="19"/>
        <v>0.33850365342502547</v>
      </c>
      <c r="AS115" s="70">
        <f t="shared" si="20"/>
        <v>0.32837431210298074</v>
      </c>
      <c r="AW115">
        <f t="shared" si="21"/>
        <v>0.33802754640763777</v>
      </c>
      <c r="AX115">
        <f t="shared" si="22"/>
        <v>0.11946034602825283</v>
      </c>
      <c r="AZ115">
        <f t="shared" si="23"/>
        <v>3.6140482766280624E-2</v>
      </c>
      <c r="BA115">
        <f t="shared" si="23"/>
        <v>1.2772197481448927E-2</v>
      </c>
      <c r="BD115" s="7"/>
      <c r="BE115" s="7"/>
      <c r="BF115" s="7"/>
      <c r="BG115" s="7"/>
      <c r="BH115" s="7"/>
      <c r="BR115" s="19" t="s">
        <v>1955</v>
      </c>
      <c r="CD115" s="219">
        <f t="shared" si="9"/>
        <v>0.49422659765997873</v>
      </c>
      <c r="CE115" s="223">
        <f t="shared" si="10"/>
        <v>10</v>
      </c>
      <c r="CF115" s="76"/>
      <c r="CG115" s="221">
        <f t="shared" si="31"/>
        <v>-0.09</v>
      </c>
      <c r="CH115" s="204">
        <f t="shared" si="25"/>
        <v>8.9604687377391148E-2</v>
      </c>
      <c r="CI115" s="42">
        <f t="shared" si="26"/>
        <v>-8.9604687377391148E-2</v>
      </c>
      <c r="CJ115" s="204">
        <f t="shared" si="27"/>
        <v>2.6359250271216093</v>
      </c>
      <c r="CK115" s="204">
        <f t="shared" si="28"/>
        <v>0.48775713459354109</v>
      </c>
      <c r="CL115" s="214">
        <f t="shared" si="28"/>
        <v>0.30854775983875882</v>
      </c>
      <c r="CM115" s="221">
        <f t="shared" si="32"/>
        <v>-0.09</v>
      </c>
      <c r="CN115" s="204">
        <f t="shared" si="29"/>
        <v>8.9604687377391148E-2</v>
      </c>
      <c r="CO115" s="42">
        <f t="shared" si="30"/>
        <v>-8.9604687377391148E-2</v>
      </c>
      <c r="CP115" s="204">
        <f t="shared" si="33"/>
        <v>5.6109638490813634</v>
      </c>
      <c r="CQ115" s="204">
        <f t="shared" si="34"/>
        <v>0.48576756281298278</v>
      </c>
      <c r="CR115" s="214">
        <f t="shared" si="34"/>
        <v>0.30655818805820051</v>
      </c>
    </row>
    <row r="116" spans="1:96" x14ac:dyDescent="0.25">
      <c r="A116" s="186">
        <v>0.17824999999999999</v>
      </c>
      <c r="B116" s="152">
        <v>9.9650000000000002E-2</v>
      </c>
      <c r="C116" s="152">
        <v>11</v>
      </c>
      <c r="D116" s="151">
        <f t="shared" si="0"/>
        <v>1.9057739884076983</v>
      </c>
      <c r="E116" s="150">
        <f t="shared" si="0"/>
        <v>1.0654158650481187</v>
      </c>
      <c r="G116" s="183">
        <v>0.27199000000000001</v>
      </c>
      <c r="H116" s="156">
        <v>-3.2059999999999998E-2</v>
      </c>
      <c r="I116" s="156">
        <v>11</v>
      </c>
      <c r="J116" s="148">
        <f t="shared" si="1"/>
        <v>2.9080026205161844</v>
      </c>
      <c r="K116" s="155">
        <f t="shared" si="1"/>
        <v>-0.34277202843394561</v>
      </c>
      <c r="M116" s="149">
        <f t="shared" si="24"/>
        <v>1.9057739884076983</v>
      </c>
      <c r="N116" s="203">
        <f t="shared" si="11"/>
        <v>-0.36896983886495166</v>
      </c>
      <c r="O116" s="148">
        <v>11</v>
      </c>
      <c r="P116" s="149">
        <f t="shared" si="2"/>
        <v>1.4343857039130703</v>
      </c>
      <c r="Q116" s="148">
        <f t="shared" si="3"/>
        <v>1.9057739884076983</v>
      </c>
      <c r="R116" s="202">
        <f t="shared" si="4"/>
        <v>0.17824999999999999</v>
      </c>
      <c r="S116" s="203">
        <f t="shared" si="12"/>
        <v>0.34822301309158354</v>
      </c>
      <c r="T116" s="172"/>
      <c r="AG116" s="136">
        <f t="shared" si="5"/>
        <v>11</v>
      </c>
      <c r="AH116" s="136">
        <f t="shared" si="6"/>
        <v>1.9057739884076983</v>
      </c>
      <c r="AI116" s="136">
        <f t="shared" si="7"/>
        <v>-0.36896983886495166</v>
      </c>
      <c r="AJ116" s="136">
        <f t="shared" si="8"/>
        <v>1.0654158650481187</v>
      </c>
      <c r="AK116" s="70">
        <f t="shared" si="13"/>
        <v>-1.4268936186248762E-2</v>
      </c>
      <c r="AL116" s="70">
        <f t="shared" si="14"/>
        <v>-0.81754982161355083</v>
      </c>
      <c r="AM116" s="111">
        <f t="shared" si="15"/>
        <v>0.18216080910376423</v>
      </c>
      <c r="AN116" s="111">
        <f t="shared" si="16"/>
        <v>10.437045554333954</v>
      </c>
      <c r="AO116" s="142">
        <f t="shared" si="17"/>
        <v>1.3886355176911325</v>
      </c>
      <c r="AP116" s="142">
        <f t="shared" si="18"/>
        <v>79.562954445666051</v>
      </c>
      <c r="AR116" s="111">
        <f t="shared" si="19"/>
        <v>0.368868375674341</v>
      </c>
      <c r="AS116" s="70">
        <f t="shared" si="20"/>
        <v>0.3628022145956013</v>
      </c>
      <c r="AW116">
        <f t="shared" si="21"/>
        <v>0.39299821955797243</v>
      </c>
      <c r="AX116">
        <f t="shared" si="22"/>
        <v>0.13386307465918662</v>
      </c>
      <c r="AZ116">
        <f t="shared" si="23"/>
        <v>4.2017715810609896E-2</v>
      </c>
      <c r="BA116">
        <f t="shared" si="23"/>
        <v>1.4312076616760479E-2</v>
      </c>
      <c r="BD116" s="7"/>
      <c r="BE116" s="7"/>
      <c r="BF116" s="7"/>
      <c r="BG116" s="7"/>
      <c r="BH116" s="7"/>
      <c r="BR116" s="161" t="s">
        <v>1954</v>
      </c>
      <c r="BS116" s="161">
        <v>716259</v>
      </c>
      <c r="BT116" s="7" t="s">
        <v>1953</v>
      </c>
      <c r="CC116" s="89"/>
      <c r="CD116" s="219">
        <f t="shared" si="9"/>
        <v>0.56681295407751586</v>
      </c>
      <c r="CE116" s="223">
        <f t="shared" si="10"/>
        <v>11</v>
      </c>
      <c r="CF116" s="214"/>
      <c r="CG116" s="221">
        <f t="shared" si="31"/>
        <v>-0.08</v>
      </c>
      <c r="CH116" s="204">
        <f t="shared" si="25"/>
        <v>9.8635693336641586E-2</v>
      </c>
      <c r="CI116" s="42">
        <f t="shared" si="26"/>
        <v>-9.8635693336641586E-2</v>
      </c>
      <c r="CJ116" s="204">
        <f t="shared" si="27"/>
        <v>2.645925027121609</v>
      </c>
      <c r="CK116" s="204">
        <f t="shared" si="28"/>
        <v>0.49678814055279152</v>
      </c>
      <c r="CL116" s="214">
        <f t="shared" si="28"/>
        <v>0.29951675387950838</v>
      </c>
      <c r="CM116" s="221">
        <f t="shared" si="32"/>
        <v>-0.08</v>
      </c>
      <c r="CN116" s="204">
        <f t="shared" si="29"/>
        <v>9.8635693336641586E-2</v>
      </c>
      <c r="CO116" s="42">
        <f t="shared" si="30"/>
        <v>-9.8635693336641586E-2</v>
      </c>
      <c r="CP116" s="204">
        <f t="shared" si="33"/>
        <v>5.6209638490813632</v>
      </c>
      <c r="CQ116" s="204">
        <f t="shared" si="34"/>
        <v>0.49479856877223322</v>
      </c>
      <c r="CR116" s="214">
        <f t="shared" si="34"/>
        <v>0.29752718209895007</v>
      </c>
    </row>
    <row r="117" spans="1:96" s="89" customFormat="1" x14ac:dyDescent="0.25">
      <c r="A117" s="186">
        <v>0.21521000000000001</v>
      </c>
      <c r="B117" s="152">
        <v>0.10428</v>
      </c>
      <c r="C117" s="152">
        <v>12</v>
      </c>
      <c r="D117" s="151">
        <f t="shared" si="0"/>
        <v>2.3009347548118977</v>
      </c>
      <c r="E117" s="150">
        <f t="shared" si="0"/>
        <v>1.1149178766404195</v>
      </c>
      <c r="F117" s="158"/>
      <c r="G117" s="183">
        <v>0.32105</v>
      </c>
      <c r="H117" s="156">
        <v>-3.0099999999999998E-2</v>
      </c>
      <c r="I117" s="156">
        <v>12</v>
      </c>
      <c r="J117" s="148">
        <f t="shared" si="1"/>
        <v>3.4325314949693775</v>
      </c>
      <c r="K117" s="155">
        <f t="shared" si="1"/>
        <v>-0.32181653324584414</v>
      </c>
      <c r="L117" s="158"/>
      <c r="M117" s="149">
        <f t="shared" si="24"/>
        <v>2.3009347548118977</v>
      </c>
      <c r="N117" s="148">
        <f t="shared" si="11"/>
        <v>-0.36702504549021142</v>
      </c>
      <c r="O117" s="148">
        <v>12</v>
      </c>
      <c r="P117" s="149">
        <f t="shared" si="2"/>
        <v>1.4819429221306311</v>
      </c>
      <c r="Q117" s="148">
        <f t="shared" si="3"/>
        <v>2.3009347548118977</v>
      </c>
      <c r="R117" s="202">
        <f t="shared" si="4"/>
        <v>0.21521000000000001</v>
      </c>
      <c r="S117" s="203">
        <f t="shared" si="12"/>
        <v>0.37394641557510405</v>
      </c>
      <c r="T117" s="172"/>
      <c r="AG117" s="157">
        <f t="shared" si="5"/>
        <v>12</v>
      </c>
      <c r="AH117" s="157">
        <f t="shared" si="6"/>
        <v>2.3009347548118977</v>
      </c>
      <c r="AI117" s="157">
        <f t="shared" si="7"/>
        <v>-0.36702504549021142</v>
      </c>
      <c r="AJ117" s="157">
        <f t="shared" si="8"/>
        <v>1.1149178766404195</v>
      </c>
      <c r="AK117" s="89">
        <f t="shared" si="13"/>
        <v>4.9214847182083628E-3</v>
      </c>
      <c r="AL117" s="89">
        <f t="shared" si="14"/>
        <v>0.28198030329147045</v>
      </c>
      <c r="AM117" s="89">
        <f t="shared" si="15"/>
        <v>0.12462138593601764</v>
      </c>
      <c r="AN117" s="89">
        <f t="shared" si="16"/>
        <v>7.1402794512048056</v>
      </c>
      <c r="AO117" s="89">
        <f t="shared" si="17"/>
        <v>1.4461749408588791</v>
      </c>
      <c r="AP117" s="89">
        <f t="shared" si="18"/>
        <v>82.859720548795195</v>
      </c>
      <c r="AR117" s="111">
        <f t="shared" si="19"/>
        <v>0.39824926924834214</v>
      </c>
      <c r="AS117" s="70">
        <f t="shared" si="20"/>
        <v>0.39516555204929571</v>
      </c>
      <c r="AU117" s="89">
        <f>SUM(AR107:AS116)</f>
        <v>4.325033056873397</v>
      </c>
      <c r="AW117">
        <f t="shared" si="21"/>
        <v>0.44401522964396034</v>
      </c>
      <c r="AX117">
        <f t="shared" si="22"/>
        <v>0.14503565471705726</v>
      </c>
      <c r="AZ117">
        <f t="shared" si="23"/>
        <v>4.7472239837998892E-2</v>
      </c>
      <c r="BA117">
        <f t="shared" si="23"/>
        <v>1.5506601859828779E-2</v>
      </c>
      <c r="BD117" s="141"/>
      <c r="BE117" s="141"/>
      <c r="BF117" s="141"/>
      <c r="BG117" s="141"/>
      <c r="BH117" s="141"/>
      <c r="BR117" s="7" t="s">
        <v>1951</v>
      </c>
      <c r="BS117" s="161">
        <v>5285.6779999999999</v>
      </c>
      <c r="BT117" s="161"/>
      <c r="BU117" t="s">
        <v>1950</v>
      </c>
      <c r="BV117"/>
      <c r="BW117"/>
      <c r="BX117"/>
      <c r="BY117"/>
      <c r="CD117" s="224">
        <f t="shared" si="9"/>
        <v>0.62981132602374634</v>
      </c>
      <c r="CE117" s="225">
        <f t="shared" si="10"/>
        <v>12</v>
      </c>
      <c r="CF117" s="214">
        <f>SUM(CD106:CD116)</f>
        <v>2.4720936284129924</v>
      </c>
      <c r="CG117" s="221">
        <f t="shared" si="31"/>
        <v>-7.0000000000000007E-2</v>
      </c>
      <c r="CH117" s="204">
        <f t="shared" si="25"/>
        <v>0.1059669759878048</v>
      </c>
      <c r="CI117" s="42">
        <f t="shared" si="26"/>
        <v>-0.1059669759878048</v>
      </c>
      <c r="CJ117" s="204">
        <f t="shared" si="27"/>
        <v>2.6559250271216093</v>
      </c>
      <c r="CK117" s="204">
        <f t="shared" si="28"/>
        <v>0.50411942320395475</v>
      </c>
      <c r="CL117" s="214">
        <f t="shared" si="28"/>
        <v>0.29218547122834515</v>
      </c>
      <c r="CM117" s="221">
        <f t="shared" si="32"/>
        <v>-7.0000000000000007E-2</v>
      </c>
      <c r="CN117" s="204">
        <f t="shared" si="29"/>
        <v>0.1059669759878048</v>
      </c>
      <c r="CO117" s="42">
        <f t="shared" si="30"/>
        <v>-0.1059669759878048</v>
      </c>
      <c r="CP117" s="204">
        <f t="shared" si="33"/>
        <v>5.6309638490813629</v>
      </c>
      <c r="CQ117" s="204">
        <f t="shared" si="34"/>
        <v>0.5021298514233965</v>
      </c>
      <c r="CR117" s="214">
        <f t="shared" si="34"/>
        <v>0.29019589944778684</v>
      </c>
    </row>
    <row r="118" spans="1:96" x14ac:dyDescent="0.25">
      <c r="A118" s="186">
        <v>0.25496000000000002</v>
      </c>
      <c r="B118" s="152">
        <v>0.10722</v>
      </c>
      <c r="C118" s="152">
        <v>13</v>
      </c>
      <c r="D118" s="151">
        <f t="shared" si="0"/>
        <v>2.7259250271216091</v>
      </c>
      <c r="E118" s="150">
        <f t="shared" si="0"/>
        <v>1.1463511194225717</v>
      </c>
      <c r="G118" s="183">
        <v>0.37237999999999999</v>
      </c>
      <c r="H118" s="156">
        <v>-2.7470000000000001E-2</v>
      </c>
      <c r="I118" s="156">
        <v>13</v>
      </c>
      <c r="J118" s="148">
        <f t="shared" si="1"/>
        <v>3.9813302541557287</v>
      </c>
      <c r="K118" s="155">
        <f t="shared" si="1"/>
        <v>-0.2936976800087488</v>
      </c>
      <c r="M118" s="149">
        <f t="shared" si="24"/>
        <v>2.7259250271216091</v>
      </c>
      <c r="N118" s="148">
        <f t="shared" ref="N118:N124" si="35">((K117-K116)/(J117-J116))*(M118-J116)+K116</f>
        <v>-0.35004622499027188</v>
      </c>
      <c r="O118" s="148">
        <v>13</v>
      </c>
      <c r="P118" s="149">
        <f t="shared" si="2"/>
        <v>1.4963973444128436</v>
      </c>
      <c r="Q118" s="148">
        <f t="shared" si="3"/>
        <v>2.7259250271216091</v>
      </c>
      <c r="R118" s="202">
        <f t="shared" si="4"/>
        <v>0.25496000000000002</v>
      </c>
      <c r="S118" s="203">
        <f t="shared" si="12"/>
        <v>0.39815244721614995</v>
      </c>
      <c r="T118" s="172"/>
      <c r="AG118" s="136">
        <f t="shared" si="5"/>
        <v>13</v>
      </c>
      <c r="AH118" s="136">
        <f t="shared" si="6"/>
        <v>2.7259250271216091</v>
      </c>
      <c r="AI118" s="136">
        <f t="shared" si="7"/>
        <v>-0.35004622499027188</v>
      </c>
      <c r="AJ118" s="136">
        <f t="shared" si="8"/>
        <v>1.1463511194225717</v>
      </c>
      <c r="AK118" s="70">
        <f t="shared" si="13"/>
        <v>3.9929845484203447E-2</v>
      </c>
      <c r="AL118" s="70">
        <f t="shared" si="14"/>
        <v>2.2878116228543668</v>
      </c>
      <c r="AM118" s="111">
        <f t="shared" si="15"/>
        <v>7.3827836968954341E-2</v>
      </c>
      <c r="AN118" s="111">
        <f t="shared" si="16"/>
        <v>4.2300234689009955</v>
      </c>
      <c r="AO118" s="142">
        <f t="shared" si="17"/>
        <v>1.4969684898259423</v>
      </c>
      <c r="AP118" s="142">
        <f t="shared" si="18"/>
        <v>85.769976531099019</v>
      </c>
      <c r="AQ118" s="89"/>
      <c r="AR118" s="111">
        <f t="shared" si="19"/>
        <v>0.42615112379258652</v>
      </c>
      <c r="AS118" s="70">
        <f t="shared" si="20"/>
        <v>0.42532929819547094</v>
      </c>
      <c r="AW118">
        <f t="shared" si="21"/>
        <v>0.48851881780281847</v>
      </c>
      <c r="AX118">
        <f t="shared" si="22"/>
        <v>0.14888491521108627</v>
      </c>
      <c r="AZ118">
        <f t="shared" si="23"/>
        <v>5.2230376202877474E-2</v>
      </c>
      <c r="BA118">
        <f t="shared" si="23"/>
        <v>1.5918148593300076E-2</v>
      </c>
      <c r="BD118" s="7"/>
      <c r="BE118" s="7"/>
      <c r="BF118" s="7"/>
      <c r="BG118" s="7"/>
      <c r="BH118" s="7"/>
      <c r="BR118" s="7" t="s">
        <v>1948</v>
      </c>
      <c r="BS118" s="161">
        <v>-0.5595</v>
      </c>
      <c r="BT118" s="161"/>
      <c r="BU118" s="164"/>
      <c r="CC118" s="89"/>
      <c r="CD118" s="219">
        <f t="shared" si="9"/>
        <v>0.67579145310101429</v>
      </c>
      <c r="CE118" s="223">
        <f t="shared" si="10"/>
        <v>13</v>
      </c>
      <c r="CF118" s="214"/>
      <c r="CG118" s="221">
        <f t="shared" si="31"/>
        <v>-6.0000000000000005E-2</v>
      </c>
      <c r="CH118" s="204">
        <f t="shared" si="25"/>
        <v>0.11193301568348814</v>
      </c>
      <c r="CI118" s="42">
        <f t="shared" si="26"/>
        <v>-0.11193301568348814</v>
      </c>
      <c r="CJ118" s="204">
        <f t="shared" si="27"/>
        <v>2.6659250271216091</v>
      </c>
      <c r="CK118" s="204">
        <f t="shared" si="28"/>
        <v>0.51008546289963808</v>
      </c>
      <c r="CL118" s="214">
        <f t="shared" si="28"/>
        <v>0.28621943153266183</v>
      </c>
      <c r="CM118" s="221">
        <f t="shared" si="32"/>
        <v>-6.0000000000000005E-2</v>
      </c>
      <c r="CN118" s="204">
        <f t="shared" si="29"/>
        <v>0.11193301568348814</v>
      </c>
      <c r="CO118" s="42">
        <f t="shared" si="30"/>
        <v>-0.11193301568348814</v>
      </c>
      <c r="CP118" s="204">
        <f t="shared" si="33"/>
        <v>5.6409638490813636</v>
      </c>
      <c r="CQ118" s="204">
        <f t="shared" si="34"/>
        <v>0.50809589111907982</v>
      </c>
      <c r="CR118" s="214">
        <f t="shared" si="34"/>
        <v>0.28422985975210352</v>
      </c>
    </row>
    <row r="119" spans="1:96" x14ac:dyDescent="0.25">
      <c r="A119" s="186">
        <v>0.29720000000000002</v>
      </c>
      <c r="B119" s="152">
        <v>0.10846</v>
      </c>
      <c r="C119" s="152">
        <v>14</v>
      </c>
      <c r="D119" s="151">
        <f t="shared" si="0"/>
        <v>3.1775373315835509</v>
      </c>
      <c r="E119" s="283">
        <f t="shared" si="0"/>
        <v>1.1596086776027992</v>
      </c>
      <c r="G119" s="183">
        <v>0.42547000000000001</v>
      </c>
      <c r="H119" s="156">
        <v>-2.426E-2</v>
      </c>
      <c r="I119" s="156">
        <v>14</v>
      </c>
      <c r="J119" s="148">
        <f t="shared" si="1"/>
        <v>4.5489461926946619</v>
      </c>
      <c r="K119" s="155">
        <f t="shared" si="1"/>
        <v>-0.25937771084864381</v>
      </c>
      <c r="M119" s="149">
        <f t="shared" si="24"/>
        <v>3.1775373315835509</v>
      </c>
      <c r="N119" s="148">
        <f t="shared" si="35"/>
        <v>-0.33488169299072479</v>
      </c>
      <c r="O119" s="148">
        <v>14</v>
      </c>
      <c r="P119" s="149">
        <f t="shared" si="2"/>
        <v>1.494490370593524</v>
      </c>
      <c r="Q119" s="148">
        <f t="shared" si="3"/>
        <v>3.1775373315835509</v>
      </c>
      <c r="R119" s="202">
        <f t="shared" si="4"/>
        <v>0.29720000000000002</v>
      </c>
      <c r="S119" s="203">
        <f t="shared" si="12"/>
        <v>0.41236349230603719</v>
      </c>
      <c r="T119" s="172"/>
      <c r="Y119" s="135" t="s">
        <v>1949</v>
      </c>
      <c r="Z119" s="135"/>
      <c r="AA119" s="135"/>
      <c r="AG119" s="136">
        <f t="shared" si="5"/>
        <v>14</v>
      </c>
      <c r="AH119" s="136">
        <f t="shared" si="6"/>
        <v>3.1775373315835509</v>
      </c>
      <c r="AI119" s="136">
        <f t="shared" si="7"/>
        <v>-0.33488169299072479</v>
      </c>
      <c r="AJ119" s="136">
        <f t="shared" si="8"/>
        <v>1.1596086776027992</v>
      </c>
      <c r="AK119" s="70">
        <f t="shared" si="13"/>
        <v>3.3566039355841307E-2</v>
      </c>
      <c r="AL119" s="70">
        <f t="shared" si="14"/>
        <v>1.9231923900597272</v>
      </c>
      <c r="AM119" s="111">
        <f t="shared" si="15"/>
        <v>2.9347632158424602E-2</v>
      </c>
      <c r="AN119" s="111">
        <f t="shared" si="16"/>
        <v>1.6814954613801403</v>
      </c>
      <c r="AO119" s="142">
        <f t="shared" si="17"/>
        <v>1.541448694636472</v>
      </c>
      <c r="AP119" s="142">
        <f t="shared" si="18"/>
        <v>88.318504538619877</v>
      </c>
      <c r="AR119" s="111">
        <f t="shared" si="19"/>
        <v>0.45180685739630794</v>
      </c>
      <c r="AS119" s="70">
        <f t="shared" si="20"/>
        <v>0.45186683499919628</v>
      </c>
      <c r="AW119">
        <f t="shared" si="21"/>
        <v>0.5239191524372091</v>
      </c>
      <c r="AX119">
        <f t="shared" si="22"/>
        <v>0.15132193071089134</v>
      </c>
      <c r="AZ119">
        <f t="shared" si="23"/>
        <v>5.601523100944969E-2</v>
      </c>
      <c r="BA119">
        <f t="shared" si="23"/>
        <v>1.6178704035032188E-2</v>
      </c>
      <c r="BD119" s="7"/>
      <c r="BE119" s="7"/>
      <c r="BF119" s="7"/>
      <c r="BG119" s="7"/>
      <c r="BH119" s="7"/>
      <c r="BR119" s="161" t="s">
        <v>1944</v>
      </c>
      <c r="BS119" s="169">
        <f>BS116/(2*(1+BS118))</f>
        <v>813006.81044267875</v>
      </c>
      <c r="BT119" s="169"/>
      <c r="BU119" s="164"/>
      <c r="CC119" s="89"/>
      <c r="CD119" s="219">
        <f t="shared" si="9"/>
        <v>0.70928393383375932</v>
      </c>
      <c r="CE119" s="223">
        <f t="shared" si="10"/>
        <v>14</v>
      </c>
      <c r="CF119" s="76"/>
      <c r="CG119" s="221">
        <f t="shared" si="31"/>
        <v>-0.05</v>
      </c>
      <c r="CH119" s="204">
        <f t="shared" si="25"/>
        <v>0.1167433081593973</v>
      </c>
      <c r="CI119" s="42">
        <f t="shared" si="26"/>
        <v>-0.1167433081593973</v>
      </c>
      <c r="CJ119" s="204">
        <f t="shared" si="27"/>
        <v>2.6759250271216093</v>
      </c>
      <c r="CK119" s="204">
        <f t="shared" si="28"/>
        <v>0.51489575537554721</v>
      </c>
      <c r="CL119" s="214">
        <f t="shared" si="28"/>
        <v>0.28140913905675263</v>
      </c>
      <c r="CM119" s="221">
        <f t="shared" si="32"/>
        <v>-0.05</v>
      </c>
      <c r="CN119" s="204">
        <f t="shared" si="29"/>
        <v>0.1167433081593973</v>
      </c>
      <c r="CO119" s="42">
        <f t="shared" si="30"/>
        <v>-0.1167433081593973</v>
      </c>
      <c r="CP119" s="204">
        <f t="shared" si="33"/>
        <v>5.6509638490813634</v>
      </c>
      <c r="CQ119" s="204">
        <f t="shared" si="34"/>
        <v>0.51290618359498896</v>
      </c>
      <c r="CR119" s="214">
        <f t="shared" si="34"/>
        <v>0.27941956727619432</v>
      </c>
    </row>
    <row r="120" spans="1:96" x14ac:dyDescent="0.25">
      <c r="A120" s="186">
        <v>0.34159</v>
      </c>
      <c r="B120" s="152">
        <v>0.10800999999999999</v>
      </c>
      <c r="C120" s="152">
        <v>15</v>
      </c>
      <c r="D120" s="151">
        <f t="shared" si="0"/>
        <v>3.6521365312773391</v>
      </c>
      <c r="E120" s="282">
        <f t="shared" si="0"/>
        <v>1.154797466972878</v>
      </c>
      <c r="G120" s="183">
        <v>0.47978999999999999</v>
      </c>
      <c r="H120" s="156">
        <v>-2.0639999999999999E-2</v>
      </c>
      <c r="I120" s="156">
        <v>15</v>
      </c>
      <c r="J120" s="148">
        <f t="shared" si="1"/>
        <v>5.1297127736220451</v>
      </c>
      <c r="K120" s="155">
        <f t="shared" si="1"/>
        <v>-0.22067419422572168</v>
      </c>
      <c r="M120" s="149">
        <f t="shared" si="24"/>
        <v>3.6521365312773391</v>
      </c>
      <c r="N120" s="148">
        <f t="shared" si="35"/>
        <v>-0.31360183993415153</v>
      </c>
      <c r="O120" s="148">
        <v>15</v>
      </c>
      <c r="P120" s="149">
        <f t="shared" si="2"/>
        <v>1.4683993069070296</v>
      </c>
      <c r="Q120" s="148">
        <f t="shared" si="3"/>
        <v>3.6521365312773391</v>
      </c>
      <c r="R120" s="202">
        <f t="shared" si="4"/>
        <v>0.34159</v>
      </c>
      <c r="S120" s="203">
        <f t="shared" si="12"/>
        <v>0.42059781351936321</v>
      </c>
      <c r="T120" s="172"/>
      <c r="Y120" s="135" t="s">
        <v>1947</v>
      </c>
      <c r="Z120" s="135" t="s">
        <v>1946</v>
      </c>
      <c r="AA120" s="135" t="s">
        <v>1945</v>
      </c>
      <c r="AG120" s="136">
        <f t="shared" si="5"/>
        <v>15</v>
      </c>
      <c r="AH120" s="136">
        <f t="shared" si="6"/>
        <v>3.6521365312773391</v>
      </c>
      <c r="AI120" s="136">
        <f t="shared" si="7"/>
        <v>-0.31360183993415153</v>
      </c>
      <c r="AJ120" s="136">
        <f t="shared" si="8"/>
        <v>1.154797466972878</v>
      </c>
      <c r="AK120" s="70">
        <f t="shared" si="13"/>
        <v>4.4807513124576766E-2</v>
      </c>
      <c r="AL120" s="70">
        <f t="shared" si="14"/>
        <v>2.5672813925152926</v>
      </c>
      <c r="AM120" s="111">
        <f t="shared" si="15"/>
        <v>-1.0137071094004064E-2</v>
      </c>
      <c r="AN120" s="111">
        <f t="shared" si="16"/>
        <v>-0.580811390310497</v>
      </c>
      <c r="AO120" s="142">
        <f t="shared" si="17"/>
        <v>1.5809333978889006</v>
      </c>
      <c r="AP120" s="142">
        <f t="shared" si="18"/>
        <v>90.580811390310487</v>
      </c>
      <c r="AR120" s="111">
        <f t="shared" si="19"/>
        <v>0.4746235856947163</v>
      </c>
      <c r="AS120" s="70">
        <f t="shared" si="20"/>
        <v>0.47507602812191396</v>
      </c>
      <c r="AW120">
        <f t="shared" si="21"/>
        <v>0.54809411452584311</v>
      </c>
      <c r="AX120">
        <f t="shared" si="22"/>
        <v>0.14898471652764092</v>
      </c>
      <c r="AZ120">
        <f t="shared" si="23"/>
        <v>5.8599916222311456E-2</v>
      </c>
      <c r="BA120">
        <f t="shared" si="23"/>
        <v>1.5928818930079806E-2</v>
      </c>
      <c r="BD120" s="7"/>
      <c r="BE120" s="7"/>
      <c r="BF120" s="7"/>
      <c r="BG120" s="7"/>
      <c r="BH120" s="7"/>
      <c r="BR120" s="163"/>
      <c r="BS120" s="168"/>
      <c r="BT120" s="168"/>
      <c r="BU120" s="167"/>
      <c r="BV120" s="89"/>
      <c r="BW120" s="89"/>
      <c r="BX120" s="89"/>
      <c r="BY120" s="89"/>
      <c r="CC120" s="89"/>
      <c r="CD120" s="219">
        <f t="shared" si="9"/>
        <v>0.72531724438097123</v>
      </c>
      <c r="CE120" s="223">
        <f t="shared" si="10"/>
        <v>15</v>
      </c>
      <c r="CF120" s="76"/>
      <c r="CG120" s="221">
        <f t="shared" si="31"/>
        <v>-0.04</v>
      </c>
      <c r="CH120" s="204">
        <f t="shared" si="25"/>
        <v>0.12053630158587081</v>
      </c>
      <c r="CI120" s="42">
        <f t="shared" si="26"/>
        <v>-0.12053630158587081</v>
      </c>
      <c r="CJ120" s="204">
        <f t="shared" si="27"/>
        <v>2.6859250271216091</v>
      </c>
      <c r="CK120" s="204">
        <f t="shared" si="28"/>
        <v>0.51868874880202076</v>
      </c>
      <c r="CL120" s="214">
        <f t="shared" si="28"/>
        <v>0.27761614563027914</v>
      </c>
      <c r="CM120" s="221">
        <f t="shared" si="32"/>
        <v>-0.04</v>
      </c>
      <c r="CN120" s="204">
        <f t="shared" si="29"/>
        <v>0.12053630158587081</v>
      </c>
      <c r="CO120" s="42">
        <f t="shared" si="30"/>
        <v>-0.12053630158587081</v>
      </c>
      <c r="CP120" s="204">
        <f t="shared" si="33"/>
        <v>5.6609638490813632</v>
      </c>
      <c r="CQ120" s="204">
        <f t="shared" si="34"/>
        <v>0.5166991770214624</v>
      </c>
      <c r="CR120" s="214">
        <f t="shared" si="34"/>
        <v>0.27562657384972084</v>
      </c>
    </row>
    <row r="121" spans="1:96" x14ac:dyDescent="0.25">
      <c r="A121" s="186">
        <v>0.38779000000000002</v>
      </c>
      <c r="B121" s="152">
        <v>0.10592</v>
      </c>
      <c r="C121" s="152">
        <v>16</v>
      </c>
      <c r="D121" s="151">
        <f t="shared" si="0"/>
        <v>4.1460874892825883</v>
      </c>
      <c r="E121" s="283">
        <f t="shared" si="0"/>
        <v>1.1324520664916882</v>
      </c>
      <c r="G121" s="183">
        <v>0.53476999999999997</v>
      </c>
      <c r="H121" s="156">
        <v>-1.6799999999999999E-2</v>
      </c>
      <c r="I121" s="156">
        <v>16</v>
      </c>
      <c r="J121" s="148">
        <f t="shared" si="1"/>
        <v>5.7175357968066463</v>
      </c>
      <c r="K121" s="155">
        <f t="shared" si="1"/>
        <v>-0.17961853018372695</v>
      </c>
      <c r="M121" s="149">
        <f t="shared" si="24"/>
        <v>4.1460874892825883</v>
      </c>
      <c r="N121" s="148">
        <f t="shared" si="35"/>
        <v>-0.28622506921299778</v>
      </c>
      <c r="O121" s="148">
        <v>16</v>
      </c>
      <c r="P121" s="149">
        <f t="shared" si="2"/>
        <v>1.4186771357046859</v>
      </c>
      <c r="Q121" s="148">
        <f t="shared" si="3"/>
        <v>4.1460874892825883</v>
      </c>
      <c r="R121" s="202">
        <f t="shared" si="4"/>
        <v>0.38779000000000002</v>
      </c>
      <c r="S121" s="203">
        <f t="shared" si="12"/>
        <v>0.42311349863934522</v>
      </c>
      <c r="T121" s="208"/>
      <c r="U121" s="135"/>
      <c r="Y121" s="137">
        <f>C100/2-3.5</f>
        <v>-3.4465421041119861</v>
      </c>
      <c r="Z121" s="137">
        <f>P117</f>
        <v>1.4819429221306311</v>
      </c>
      <c r="AA121" s="137">
        <v>0.2</v>
      </c>
      <c r="AB121" s="89"/>
      <c r="AG121" s="136">
        <f t="shared" si="5"/>
        <v>16</v>
      </c>
      <c r="AH121" s="136">
        <f t="shared" si="6"/>
        <v>4.1460874892825883</v>
      </c>
      <c r="AI121" s="136">
        <f t="shared" si="7"/>
        <v>-0.28622506921299778</v>
      </c>
      <c r="AJ121" s="136">
        <f t="shared" si="8"/>
        <v>1.1324520664916882</v>
      </c>
      <c r="AK121" s="70">
        <f t="shared" si="13"/>
        <v>5.5367419771437942E-2</v>
      </c>
      <c r="AL121" s="70">
        <f t="shared" si="14"/>
        <v>3.172319475432583</v>
      </c>
      <c r="AM121" s="111">
        <f t="shared" si="15"/>
        <v>-4.5207273376767138E-2</v>
      </c>
      <c r="AN121" s="111">
        <f t="shared" si="16"/>
        <v>-2.5901859677828867</v>
      </c>
      <c r="AO121" s="142">
        <f t="shared" si="17"/>
        <v>1.6160036001716636</v>
      </c>
      <c r="AP121" s="142">
        <f t="shared" si="18"/>
        <v>92.590185967782887</v>
      </c>
      <c r="AR121" s="111">
        <f t="shared" si="19"/>
        <v>0.49445613135744232</v>
      </c>
      <c r="AS121" s="70">
        <f t="shared" si="20"/>
        <v>0.49470904225556872</v>
      </c>
      <c r="AW121">
        <f t="shared" si="21"/>
        <v>0.55994786774522121</v>
      </c>
      <c r="AX121">
        <f t="shared" si="22"/>
        <v>0.141598129859896</v>
      </c>
      <c r="AZ121">
        <f t="shared" si="23"/>
        <v>5.9867269633278902E-2</v>
      </c>
      <c r="BA121">
        <f t="shared" si="23"/>
        <v>1.5139076167975607E-2</v>
      </c>
      <c r="BD121" s="7"/>
      <c r="BE121" s="7"/>
      <c r="BF121" s="7"/>
      <c r="BG121" s="7"/>
      <c r="BH121" s="7"/>
      <c r="BU121" s="164"/>
      <c r="CC121" s="89"/>
      <c r="CD121" s="219">
        <f t="shared" si="9"/>
        <v>0.72214366776408823</v>
      </c>
      <c r="CE121" s="223">
        <f t="shared" si="10"/>
        <v>16</v>
      </c>
      <c r="CF121" s="76"/>
      <c r="CG121" s="221">
        <f t="shared" si="31"/>
        <v>-0.03</v>
      </c>
      <c r="CH121" s="204">
        <f t="shared" si="25"/>
        <v>0.12340583454602137</v>
      </c>
      <c r="CI121" s="42">
        <f t="shared" si="26"/>
        <v>-0.12340583454602137</v>
      </c>
      <c r="CJ121" s="204">
        <f t="shared" si="27"/>
        <v>2.6959250271216093</v>
      </c>
      <c r="CK121" s="204">
        <f t="shared" si="28"/>
        <v>0.52155828176217134</v>
      </c>
      <c r="CL121" s="214">
        <f t="shared" si="28"/>
        <v>0.27474661267012856</v>
      </c>
      <c r="CM121" s="221">
        <f t="shared" si="32"/>
        <v>-0.03</v>
      </c>
      <c r="CN121" s="204">
        <f t="shared" si="29"/>
        <v>0.12340583454602137</v>
      </c>
      <c r="CO121" s="42">
        <f t="shared" si="30"/>
        <v>-0.12340583454602137</v>
      </c>
      <c r="CP121" s="204">
        <f t="shared" si="33"/>
        <v>5.670963849081363</v>
      </c>
      <c r="CQ121" s="204">
        <f t="shared" si="34"/>
        <v>0.51956870998161298</v>
      </c>
      <c r="CR121" s="214">
        <f t="shared" si="34"/>
        <v>0.27275704088957026</v>
      </c>
    </row>
    <row r="122" spans="1:96" x14ac:dyDescent="0.25">
      <c r="A122" s="186">
        <v>0.43540000000000001</v>
      </c>
      <c r="B122" s="152">
        <v>0.10229000000000001</v>
      </c>
      <c r="C122" s="152">
        <v>17</v>
      </c>
      <c r="D122" s="151">
        <f t="shared" si="0"/>
        <v>4.655113573928257</v>
      </c>
      <c r="E122" s="150">
        <f t="shared" si="0"/>
        <v>1.0936416340769901</v>
      </c>
      <c r="G122" s="183">
        <v>0.58975</v>
      </c>
      <c r="H122" s="156">
        <v>-1.295E-2</v>
      </c>
      <c r="I122" s="156">
        <v>17</v>
      </c>
      <c r="J122" s="148">
        <f t="shared" si="1"/>
        <v>6.3053588199912483</v>
      </c>
      <c r="K122" s="155">
        <f t="shared" si="1"/>
        <v>-0.1384559503499562</v>
      </c>
      <c r="M122" s="149">
        <f t="shared" si="24"/>
        <v>4.655113573928257</v>
      </c>
      <c r="N122" s="148">
        <f t="shared" si="35"/>
        <v>-0.25382190115231584</v>
      </c>
      <c r="O122" s="148">
        <v>17</v>
      </c>
      <c r="P122" s="149">
        <f t="shared" si="2"/>
        <v>1.3474635352293061</v>
      </c>
      <c r="Q122" s="148">
        <f t="shared" si="3"/>
        <v>4.655113573928257</v>
      </c>
      <c r="R122" s="202">
        <f t="shared" si="4"/>
        <v>0.43540000000000001</v>
      </c>
      <c r="S122" s="203">
        <f t="shared" si="12"/>
        <v>0.41990986646233713</v>
      </c>
      <c r="T122" s="208"/>
      <c r="U122" s="135"/>
      <c r="W122" s="135"/>
      <c r="X122" s="135"/>
      <c r="Y122" s="135"/>
      <c r="AG122" s="136">
        <f t="shared" si="5"/>
        <v>17</v>
      </c>
      <c r="AH122" s="136">
        <f t="shared" si="6"/>
        <v>4.655113573928257</v>
      </c>
      <c r="AI122" s="136">
        <f t="shared" si="7"/>
        <v>-0.25382190115231584</v>
      </c>
      <c r="AJ122" s="136">
        <f t="shared" si="8"/>
        <v>1.0936416340769901</v>
      </c>
      <c r="AK122" s="70">
        <f t="shared" si="13"/>
        <v>6.3571409606765633E-2</v>
      </c>
      <c r="AL122" s="70">
        <f t="shared" si="14"/>
        <v>3.6423734681650872</v>
      </c>
      <c r="AM122" s="111">
        <f t="shared" si="15"/>
        <v>-7.6097257601887736E-2</v>
      </c>
      <c r="AN122" s="111">
        <f t="shared" si="16"/>
        <v>-4.3600516931079873</v>
      </c>
      <c r="AO122" s="142">
        <f t="shared" si="17"/>
        <v>1.6468935843967842</v>
      </c>
      <c r="AP122" s="142">
        <f t="shared" si="18"/>
        <v>94.360051693107977</v>
      </c>
      <c r="AR122" s="111">
        <f t="shared" si="19"/>
        <v>0.51050348139255164</v>
      </c>
      <c r="AS122" s="70">
        <f t="shared" si="20"/>
        <v>0.5100563891865959</v>
      </c>
      <c r="AW122">
        <f t="shared" si="21"/>
        <v>0.55830786159214252</v>
      </c>
      <c r="AX122">
        <f t="shared" si="22"/>
        <v>0.12946348239822728</v>
      </c>
      <c r="AZ122">
        <f t="shared" si="23"/>
        <v>5.969192707690494E-2</v>
      </c>
      <c r="BA122">
        <f t="shared" si="23"/>
        <v>1.3841690726688326E-2</v>
      </c>
      <c r="BD122" s="7"/>
      <c r="BE122" s="7"/>
      <c r="BF122" s="7"/>
      <c r="BG122" s="7"/>
      <c r="BH122" s="7"/>
      <c r="BR122" s="161" t="s">
        <v>1943</v>
      </c>
      <c r="BS122" s="161" t="s">
        <v>1942</v>
      </c>
      <c r="BT122" s="161"/>
      <c r="BU122" s="164"/>
      <c r="BW122" s="19"/>
      <c r="CC122" s="89"/>
      <c r="CD122" s="219">
        <f t="shared" si="9"/>
        <v>0.70044466574718078</v>
      </c>
      <c r="CE122" s="223">
        <f t="shared" si="10"/>
        <v>17</v>
      </c>
      <c r="CF122" s="76"/>
      <c r="CG122" s="221">
        <f t="shared" si="31"/>
        <v>-0.02</v>
      </c>
      <c r="CH122" s="204">
        <f t="shared" si="25"/>
        <v>0.12541531007018242</v>
      </c>
      <c r="CI122" s="42">
        <f t="shared" si="26"/>
        <v>-0.12541531007018242</v>
      </c>
      <c r="CJ122" s="204">
        <f t="shared" si="27"/>
        <v>2.7059250271216091</v>
      </c>
      <c r="CK122" s="204">
        <f t="shared" si="28"/>
        <v>0.52356775728633242</v>
      </c>
      <c r="CL122" s="214">
        <f t="shared" si="28"/>
        <v>0.27273713714596753</v>
      </c>
      <c r="CM122" s="221">
        <f t="shared" si="32"/>
        <v>-0.02</v>
      </c>
      <c r="CN122" s="204">
        <f t="shared" si="29"/>
        <v>0.12541531007018242</v>
      </c>
      <c r="CO122" s="42">
        <f t="shared" si="30"/>
        <v>-0.12541531007018242</v>
      </c>
      <c r="CP122" s="204">
        <f t="shared" si="33"/>
        <v>5.6809638490813636</v>
      </c>
      <c r="CQ122" s="204">
        <f t="shared" si="34"/>
        <v>0.52157818550577406</v>
      </c>
      <c r="CR122" s="214">
        <f t="shared" si="34"/>
        <v>0.27074756536540923</v>
      </c>
    </row>
    <row r="123" spans="1:96" ht="17.25" x14ac:dyDescent="0.25">
      <c r="A123" s="186">
        <v>0.48402000000000001</v>
      </c>
      <c r="B123" s="152">
        <v>9.7229999999999997E-2</v>
      </c>
      <c r="C123" s="152">
        <v>18</v>
      </c>
      <c r="D123" s="151">
        <f t="shared" si="0"/>
        <v>5.1749381535433052</v>
      </c>
      <c r="E123" s="150">
        <f t="shared" si="0"/>
        <v>1.0395422434383197</v>
      </c>
      <c r="G123" s="183">
        <v>0.64402999999999999</v>
      </c>
      <c r="H123" s="156">
        <v>-9.2700000000000005E-3</v>
      </c>
      <c r="I123" s="156">
        <v>18</v>
      </c>
      <c r="J123" s="148">
        <f t="shared" si="1"/>
        <v>6.8856977377515287</v>
      </c>
      <c r="K123" s="155">
        <f t="shared" si="1"/>
        <v>-9.9110938976377919E-2</v>
      </c>
      <c r="M123" s="149">
        <f t="shared" si="24"/>
        <v>5.1749381535433052</v>
      </c>
      <c r="N123" s="148">
        <f t="shared" si="35"/>
        <v>-0.21761418181275316</v>
      </c>
      <c r="O123" s="148">
        <v>18</v>
      </c>
      <c r="P123" s="149">
        <f t="shared" si="2"/>
        <v>1.2571564252510727</v>
      </c>
      <c r="Q123" s="148">
        <f t="shared" si="3"/>
        <v>5.1749381535433052</v>
      </c>
      <c r="R123" s="202">
        <f t="shared" si="4"/>
        <v>0.48402000000000001</v>
      </c>
      <c r="S123" s="203">
        <f t="shared" si="12"/>
        <v>0.41096403081278327</v>
      </c>
      <c r="T123" s="208"/>
      <c r="U123" s="135"/>
      <c r="W123" s="135"/>
      <c r="X123" s="135"/>
      <c r="Y123" s="135"/>
      <c r="AG123" s="136">
        <f t="shared" si="5"/>
        <v>18</v>
      </c>
      <c r="AH123" s="136">
        <f t="shared" si="6"/>
        <v>5.1749381535433052</v>
      </c>
      <c r="AI123" s="136">
        <f t="shared" si="7"/>
        <v>-0.21761418181275316</v>
      </c>
      <c r="AJ123" s="136">
        <f t="shared" si="8"/>
        <v>1.0395422434383197</v>
      </c>
      <c r="AK123" s="70">
        <f t="shared" si="13"/>
        <v>6.9541408768384633E-2</v>
      </c>
      <c r="AL123" s="70">
        <f t="shared" si="14"/>
        <v>3.9844292238224952</v>
      </c>
      <c r="AM123" s="111">
        <f t="shared" si="15"/>
        <v>-0.10369908297340055</v>
      </c>
      <c r="AN123" s="111">
        <f t="shared" si="16"/>
        <v>-5.9415197937527875</v>
      </c>
      <c r="AO123" s="142">
        <f t="shared" si="17"/>
        <v>1.6744954097682971</v>
      </c>
      <c r="AP123" s="142">
        <f t="shared" si="18"/>
        <v>95.941519793752789</v>
      </c>
      <c r="AR123" s="111">
        <f t="shared" si="19"/>
        <v>0.52263212457658692</v>
      </c>
      <c r="AS123" s="70">
        <f t="shared" si="20"/>
        <v>0.52108405513096845</v>
      </c>
      <c r="AW123">
        <f t="shared" si="21"/>
        <v>0.54329817127528057</v>
      </c>
      <c r="AX123">
        <f t="shared" si="22"/>
        <v>0.11339528031299725</v>
      </c>
      <c r="AZ123">
        <f t="shared" si="23"/>
        <v>5.8087154152364665E-2</v>
      </c>
      <c r="BA123">
        <f t="shared" si="23"/>
        <v>1.2123746178328735E-2</v>
      </c>
      <c r="BD123" s="7"/>
      <c r="BE123" s="7"/>
      <c r="BF123" s="7"/>
      <c r="BG123" s="7"/>
      <c r="BH123" s="7"/>
      <c r="BR123" s="166" t="str">
        <f>Y119</f>
        <v>Front Spar</v>
      </c>
      <c r="BS123" s="160">
        <f>AA121*Z121*C100*BT107</f>
        <v>1.1002993117116454E-4</v>
      </c>
      <c r="BT123" s="160"/>
      <c r="BU123" s="164"/>
      <c r="CC123" s="89"/>
      <c r="CD123" s="219">
        <f t="shared" si="9"/>
        <v>0.66129658299283411</v>
      </c>
      <c r="CE123" s="223">
        <f t="shared" si="10"/>
        <v>18</v>
      </c>
      <c r="CF123" s="76"/>
      <c r="CG123" s="221">
        <f t="shared" si="31"/>
        <v>-0.01</v>
      </c>
      <c r="CH123" s="204">
        <f t="shared" si="25"/>
        <v>0.12660568707605516</v>
      </c>
      <c r="CI123" s="42">
        <f t="shared" si="26"/>
        <v>-0.12660568707605516</v>
      </c>
      <c r="CJ123" s="204">
        <f t="shared" si="27"/>
        <v>2.7159250271216093</v>
      </c>
      <c r="CK123" s="204">
        <f t="shared" si="28"/>
        <v>0.52475813429220508</v>
      </c>
      <c r="CL123" s="214">
        <f t="shared" si="28"/>
        <v>0.27154676014009482</v>
      </c>
      <c r="CM123" s="221">
        <f>CM124-$CN$108</f>
        <v>-0.01</v>
      </c>
      <c r="CN123" s="204">
        <f t="shared" si="29"/>
        <v>0.12660568707605516</v>
      </c>
      <c r="CO123" s="42">
        <f t="shared" si="30"/>
        <v>-0.12660568707605516</v>
      </c>
      <c r="CP123" s="204">
        <f t="shared" si="33"/>
        <v>5.6909638490813634</v>
      </c>
      <c r="CQ123" s="204">
        <f t="shared" si="34"/>
        <v>0.52276856251164683</v>
      </c>
      <c r="CR123" s="214">
        <f t="shared" si="34"/>
        <v>0.26955718835953646</v>
      </c>
    </row>
    <row r="124" spans="1:96" ht="17.25" x14ac:dyDescent="0.25">
      <c r="A124" s="186">
        <v>0.53322000000000003</v>
      </c>
      <c r="B124" s="152">
        <v>9.0889999999999999E-2</v>
      </c>
      <c r="C124" s="152">
        <v>19</v>
      </c>
      <c r="D124" s="151">
        <f t="shared" si="0"/>
        <v>5.7009638490813632</v>
      </c>
      <c r="E124" s="150">
        <f t="shared" si="0"/>
        <v>0.97175763145231808</v>
      </c>
      <c r="G124" s="183">
        <v>0.69691999999999998</v>
      </c>
      <c r="H124" s="156">
        <v>-5.9300000000000004E-3</v>
      </c>
      <c r="I124" s="156">
        <v>19</v>
      </c>
      <c r="J124" s="148">
        <f t="shared" si="1"/>
        <v>7.4511753604549398</v>
      </c>
      <c r="K124" s="155">
        <f t="shared" si="1"/>
        <v>-6.3401064523184586E-2</v>
      </c>
      <c r="M124" s="149">
        <f t="shared" si="24"/>
        <v>5.7009638490813632</v>
      </c>
      <c r="N124" s="148">
        <f t="shared" si="35"/>
        <v>-0.17943188058113479</v>
      </c>
      <c r="O124" s="148">
        <v>19</v>
      </c>
      <c r="P124" s="149">
        <f t="shared" si="2"/>
        <v>1.151189512033453</v>
      </c>
      <c r="Q124" s="148">
        <f t="shared" si="3"/>
        <v>5.7009638490813632</v>
      </c>
      <c r="R124" s="202">
        <f t="shared" si="4"/>
        <v>0.53322000000000003</v>
      </c>
      <c r="S124" s="203">
        <f t="shared" si="12"/>
        <v>0.39616287543559164</v>
      </c>
      <c r="T124" s="208"/>
      <c r="U124" s="135"/>
      <c r="W124" s="135"/>
      <c r="X124" s="135"/>
      <c r="Y124" s="135"/>
      <c r="AG124" s="136">
        <f t="shared" si="5"/>
        <v>19</v>
      </c>
      <c r="AH124" s="136">
        <f t="shared" si="6"/>
        <v>5.7009638490813632</v>
      </c>
      <c r="AI124" s="136">
        <f t="shared" si="7"/>
        <v>-0.17943188058113479</v>
      </c>
      <c r="AJ124" s="136">
        <f t="shared" si="8"/>
        <v>0.97175763145231808</v>
      </c>
      <c r="AK124" s="70">
        <f t="shared" si="13"/>
        <v>7.2459301261079162E-2</v>
      </c>
      <c r="AL124" s="70">
        <f t="shared" si="14"/>
        <v>4.1516121487267998</v>
      </c>
      <c r="AM124" s="111">
        <f t="shared" si="15"/>
        <v>-0.1281555463335326</v>
      </c>
      <c r="AN124" s="111">
        <f t="shared" si="16"/>
        <v>-7.3427719261046898</v>
      </c>
      <c r="AO124" s="142">
        <f t="shared" si="17"/>
        <v>1.698951873128429</v>
      </c>
      <c r="AP124" s="142">
        <f t="shared" si="18"/>
        <v>97.342771926104689</v>
      </c>
      <c r="AR124" s="111">
        <f t="shared" si="19"/>
        <v>0.5303751370382952</v>
      </c>
      <c r="AS124" s="70">
        <f t="shared" si="20"/>
        <v>0.52740963253778339</v>
      </c>
      <c r="AW124">
        <f t="shared" si="21"/>
        <v>0.51539608694953232</v>
      </c>
      <c r="AX124">
        <f t="shared" si="22"/>
        <v>9.4634102202859727E-2</v>
      </c>
      <c r="AZ124">
        <f t="shared" si="23"/>
        <v>5.5103980714475795E-2</v>
      </c>
      <c r="BA124">
        <f t="shared" si="23"/>
        <v>1.0117879966032297E-2</v>
      </c>
      <c r="BD124" s="7"/>
      <c r="BE124" s="7"/>
      <c r="BF124" s="7"/>
      <c r="BG124" s="7"/>
      <c r="BH124" s="7"/>
      <c r="BR124" s="165">
        <f>S128</f>
        <v>0.28304540449609106</v>
      </c>
      <c r="BS124" s="160"/>
      <c r="BT124" s="160"/>
      <c r="BU124" s="164"/>
      <c r="CC124" s="89"/>
      <c r="CD124" s="219">
        <f t="shared" si="9"/>
        <v>0.60703222782147281</v>
      </c>
      <c r="CE124" s="220">
        <f t="shared" si="10"/>
        <v>19</v>
      </c>
      <c r="CF124" s="76"/>
      <c r="CG124" s="219">
        <v>0</v>
      </c>
      <c r="CH124" s="204">
        <f t="shared" si="25"/>
        <v>0.127</v>
      </c>
      <c r="CI124" s="42">
        <f t="shared" si="26"/>
        <v>-0.127</v>
      </c>
      <c r="CJ124" s="204">
        <f t="shared" si="27"/>
        <v>2.7259250271216091</v>
      </c>
      <c r="CK124" s="204">
        <f t="shared" si="28"/>
        <v>0.52515244721614995</v>
      </c>
      <c r="CL124" s="214">
        <f t="shared" si="28"/>
        <v>0.27115244721614995</v>
      </c>
      <c r="CM124" s="219">
        <v>0</v>
      </c>
      <c r="CN124" s="204">
        <f t="shared" si="29"/>
        <v>0.127</v>
      </c>
      <c r="CO124" s="42">
        <f t="shared" si="30"/>
        <v>-0.127</v>
      </c>
      <c r="CP124" s="204">
        <f t="shared" si="33"/>
        <v>5.7009638490813632</v>
      </c>
      <c r="CQ124" s="204">
        <f t="shared" si="34"/>
        <v>0.5231628754355917</v>
      </c>
      <c r="CR124" s="214">
        <f t="shared" si="34"/>
        <v>0.26916287543559164</v>
      </c>
    </row>
    <row r="125" spans="1:96" ht="17.25" x14ac:dyDescent="0.25">
      <c r="A125" s="186">
        <v>0.58253999999999995</v>
      </c>
      <c r="B125" s="152">
        <v>8.3470000000000003E-2</v>
      </c>
      <c r="C125" s="152">
        <v>20</v>
      </c>
      <c r="D125" s="151">
        <f t="shared" si="0"/>
        <v>6.2282725341207321</v>
      </c>
      <c r="E125" s="150">
        <f t="shared" si="0"/>
        <v>0.89242611395450533</v>
      </c>
      <c r="G125" s="183">
        <v>0.74768000000000001</v>
      </c>
      <c r="H125" s="156">
        <v>-3.0699999999999998E-3</v>
      </c>
      <c r="I125" s="156">
        <v>20</v>
      </c>
      <c r="J125" s="148">
        <f t="shared" si="1"/>
        <v>7.9938799195100581</v>
      </c>
      <c r="K125" s="155">
        <f t="shared" si="1"/>
        <v>-3.2823148075240581E-2</v>
      </c>
      <c r="M125" s="149">
        <f t="shared" si="24"/>
        <v>6.2282725341207321</v>
      </c>
      <c r="N125" s="148">
        <f t="shared" ref="N125:N131" si="36">((K123-K122)/(J123-J122))*(M125-J122)+K122</f>
        <v>-0.14368213922253356</v>
      </c>
      <c r="O125" s="148">
        <v>20</v>
      </c>
      <c r="P125" s="149">
        <f t="shared" si="2"/>
        <v>1.0361082531770389</v>
      </c>
      <c r="Q125" s="148">
        <f t="shared" si="3"/>
        <v>6.2282725341207321</v>
      </c>
      <c r="R125" s="202">
        <f t="shared" si="4"/>
        <v>0.58253999999999995</v>
      </c>
      <c r="S125" s="203">
        <f t="shared" si="12"/>
        <v>0.37437198736598587</v>
      </c>
      <c r="T125" s="208"/>
      <c r="U125" s="135"/>
      <c r="V125" s="135"/>
      <c r="AG125" s="136">
        <f t="shared" si="5"/>
        <v>20</v>
      </c>
      <c r="AH125" s="136">
        <f t="shared" si="6"/>
        <v>6.2282725341207321</v>
      </c>
      <c r="AI125" s="136">
        <f t="shared" si="7"/>
        <v>-0.14368213922253356</v>
      </c>
      <c r="AJ125" s="136">
        <f t="shared" si="8"/>
        <v>0.89242611395450533</v>
      </c>
      <c r="AK125" s="70">
        <f t="shared" si="13"/>
        <v>6.7693022693968569E-2</v>
      </c>
      <c r="AL125" s="70">
        <f t="shared" si="14"/>
        <v>3.8785245028477013</v>
      </c>
      <c r="AM125" s="111">
        <f t="shared" si="15"/>
        <v>-0.14932616989658221</v>
      </c>
      <c r="AN125" s="111">
        <f t="shared" si="16"/>
        <v>-8.555759305927646</v>
      </c>
      <c r="AO125" s="142">
        <f t="shared" si="17"/>
        <v>1.7201224966914788</v>
      </c>
      <c r="AP125" s="142">
        <f t="shared" si="18"/>
        <v>98.555759305927637</v>
      </c>
      <c r="AR125" s="111">
        <f t="shared" si="19"/>
        <v>0.53324285179123987</v>
      </c>
      <c r="AS125" s="70">
        <f t="shared" si="20"/>
        <v>0.52851915133243299</v>
      </c>
      <c r="AW125">
        <f t="shared" si="21"/>
        <v>0.47587984601807443</v>
      </c>
      <c r="AX125">
        <f t="shared" si="22"/>
        <v>7.5938762283521921E-2</v>
      </c>
      <c r="AZ125">
        <f t="shared" si="23"/>
        <v>5.0879070527276686E-2</v>
      </c>
      <c r="BA125">
        <f t="shared" si="23"/>
        <v>8.1190528960343143E-3</v>
      </c>
      <c r="BD125" s="7"/>
      <c r="BE125" s="7"/>
      <c r="BF125" s="7"/>
      <c r="BG125" s="7"/>
      <c r="BH125" s="7"/>
      <c r="BR125" s="161" t="s">
        <v>1941</v>
      </c>
      <c r="BS125" s="160">
        <f>B400*BT107*BT113*CE140*2+BT113*CE140*BT106*D400</f>
        <v>0</v>
      </c>
      <c r="BT125" s="160"/>
      <c r="BU125" s="164"/>
      <c r="CC125" s="89"/>
      <c r="CD125" s="219">
        <f t="shared" si="9"/>
        <v>0.5428040378450919</v>
      </c>
      <c r="CE125" s="220">
        <f t="shared" si="10"/>
        <v>20</v>
      </c>
      <c r="CF125" s="76"/>
      <c r="CG125" s="219">
        <f t="shared" ref="CG125:CG136" si="37">CG124+$CH$108</f>
        <v>0.01</v>
      </c>
      <c r="CH125" s="204">
        <f t="shared" si="25"/>
        <v>0.12660568707605516</v>
      </c>
      <c r="CI125" s="42">
        <f t="shared" si="26"/>
        <v>-0.12660568707605516</v>
      </c>
      <c r="CJ125" s="204">
        <f t="shared" si="27"/>
        <v>2.7359250271216089</v>
      </c>
      <c r="CK125" s="204">
        <f t="shared" si="28"/>
        <v>0.52475813429220508</v>
      </c>
      <c r="CL125" s="214">
        <f t="shared" si="28"/>
        <v>0.27154676014009482</v>
      </c>
      <c r="CM125" s="219">
        <f t="shared" ref="CM125:CM135" si="38">CM124+$CN$108</f>
        <v>0.01</v>
      </c>
      <c r="CN125" s="204">
        <f t="shared" si="29"/>
        <v>0.12660568707605516</v>
      </c>
      <c r="CO125" s="42">
        <f t="shared" si="30"/>
        <v>-0.12660568707605516</v>
      </c>
      <c r="CP125" s="204">
        <f t="shared" si="33"/>
        <v>5.710963849081363</v>
      </c>
      <c r="CQ125" s="204">
        <f t="shared" si="34"/>
        <v>0.52276856251164683</v>
      </c>
      <c r="CR125" s="214">
        <f t="shared" si="34"/>
        <v>0.26955718835953646</v>
      </c>
    </row>
    <row r="126" spans="1:96" ht="17.25" x14ac:dyDescent="0.25">
      <c r="A126" s="186">
        <v>0.63153999999999999</v>
      </c>
      <c r="B126" s="152">
        <v>7.5170000000000001E-2</v>
      </c>
      <c r="C126" s="152">
        <v>21</v>
      </c>
      <c r="D126" s="151">
        <f t="shared" si="0"/>
        <v>6.7521599138232693</v>
      </c>
      <c r="E126" s="150">
        <f t="shared" si="0"/>
        <v>0.80368600678040214</v>
      </c>
      <c r="G126" s="183">
        <v>0.79557</v>
      </c>
      <c r="H126" s="156">
        <v>-7.9000000000000001E-4</v>
      </c>
      <c r="I126" s="156">
        <v>21</v>
      </c>
      <c r="J126" s="148">
        <f t="shared" si="1"/>
        <v>8.5058996463254566</v>
      </c>
      <c r="K126" s="155">
        <f t="shared" si="1"/>
        <v>-8.4463475503062085E-3</v>
      </c>
      <c r="M126" s="149">
        <f t="shared" si="24"/>
        <v>6.7521599138232693</v>
      </c>
      <c r="N126" s="148">
        <f t="shared" si="36"/>
        <v>-0.10754384372057128</v>
      </c>
      <c r="O126" s="148">
        <v>21</v>
      </c>
      <c r="P126" s="149">
        <f t="shared" si="2"/>
        <v>0.91122985050097338</v>
      </c>
      <c r="Q126" s="148">
        <f t="shared" si="3"/>
        <v>6.7521599138232693</v>
      </c>
      <c r="R126" s="202">
        <f t="shared" si="4"/>
        <v>0.63153999999999999</v>
      </c>
      <c r="S126" s="203">
        <f t="shared" si="12"/>
        <v>0.34807108152991545</v>
      </c>
      <c r="T126" s="208"/>
      <c r="U126" s="135"/>
      <c r="V126" s="135"/>
      <c r="AG126" s="136">
        <f t="shared" si="5"/>
        <v>21</v>
      </c>
      <c r="AH126" s="136">
        <f t="shared" si="6"/>
        <v>6.7521599138232693</v>
      </c>
      <c r="AI126" s="136">
        <f t="shared" si="7"/>
        <v>-0.10754384372057128</v>
      </c>
      <c r="AJ126" s="136">
        <f t="shared" si="8"/>
        <v>0.80368600678040214</v>
      </c>
      <c r="AK126" s="70">
        <f t="shared" si="13"/>
        <v>6.8871937056565732E-2</v>
      </c>
      <c r="AL126" s="70">
        <f t="shared" si="14"/>
        <v>3.9460713202318742</v>
      </c>
      <c r="AM126" s="111">
        <f t="shared" si="15"/>
        <v>-0.16779504900727346</v>
      </c>
      <c r="AN126" s="111">
        <f t="shared" si="16"/>
        <v>-9.6139481313075823</v>
      </c>
      <c r="AO126" s="142">
        <f t="shared" si="17"/>
        <v>1.73859137580217</v>
      </c>
      <c r="AP126" s="142">
        <f t="shared" si="18"/>
        <v>99.613948131307581</v>
      </c>
      <c r="AR126" s="111">
        <f t="shared" si="19"/>
        <v>0.53134997245964144</v>
      </c>
      <c r="AS126" s="70">
        <f t="shared" si="20"/>
        <v>0.52513232904990481</v>
      </c>
      <c r="AW126">
        <f t="shared" si="21"/>
        <v>0.42703853756896587</v>
      </c>
      <c r="AX126">
        <f t="shared" si="22"/>
        <v>5.6474749127962576E-2</v>
      </c>
      <c r="AZ126">
        <f t="shared" si="23"/>
        <v>4.5657163363063046E-2</v>
      </c>
      <c r="BA126">
        <f t="shared" si="23"/>
        <v>6.0380425183686626E-3</v>
      </c>
      <c r="BD126" s="7"/>
      <c r="BE126" s="7"/>
      <c r="BF126" s="7"/>
      <c r="BG126" s="7"/>
      <c r="BH126" s="7"/>
      <c r="BR126" s="163" t="s">
        <v>1940</v>
      </c>
      <c r="BS126" s="162">
        <f>BT111*BT112*BT107</f>
        <v>7.0837249999999991E-2</v>
      </c>
      <c r="BT126" s="162"/>
      <c r="CC126" s="89"/>
      <c r="CD126" s="219">
        <f t="shared" si="9"/>
        <v>0.46949040494823185</v>
      </c>
      <c r="CE126" s="220">
        <f t="shared" si="10"/>
        <v>21</v>
      </c>
      <c r="CF126" s="76"/>
      <c r="CG126" s="219">
        <f t="shared" si="37"/>
        <v>0.02</v>
      </c>
      <c r="CH126" s="204">
        <f t="shared" si="25"/>
        <v>0.12541531007018242</v>
      </c>
      <c r="CI126" s="42">
        <f t="shared" si="26"/>
        <v>-0.12541531007018242</v>
      </c>
      <c r="CJ126" s="204">
        <f t="shared" si="27"/>
        <v>2.7459250271216091</v>
      </c>
      <c r="CK126" s="204">
        <f t="shared" si="28"/>
        <v>0.52356775728633242</v>
      </c>
      <c r="CL126" s="214">
        <f t="shared" si="28"/>
        <v>0.27273713714596753</v>
      </c>
      <c r="CM126" s="219">
        <f t="shared" si="38"/>
        <v>0.02</v>
      </c>
      <c r="CN126" s="204">
        <f t="shared" si="29"/>
        <v>0.12541531007018242</v>
      </c>
      <c r="CO126" s="42">
        <f t="shared" si="30"/>
        <v>-0.12541531007018242</v>
      </c>
      <c r="CP126" s="204">
        <f t="shared" si="33"/>
        <v>5.7209638490813628</v>
      </c>
      <c r="CQ126" s="204">
        <f t="shared" si="34"/>
        <v>0.52157818550577406</v>
      </c>
      <c r="CR126" s="214">
        <f t="shared" si="34"/>
        <v>0.27074756536540923</v>
      </c>
    </row>
    <row r="127" spans="1:96" ht="17.25" x14ac:dyDescent="0.25">
      <c r="A127" s="186">
        <v>0.67972999999999995</v>
      </c>
      <c r="B127" s="152">
        <v>6.6259999999999999E-2</v>
      </c>
      <c r="C127" s="152">
        <v>22</v>
      </c>
      <c r="D127" s="151">
        <f t="shared" si="0"/>
        <v>7.2673871143919477</v>
      </c>
      <c r="E127" s="150">
        <f t="shared" si="0"/>
        <v>0.70842403630796125</v>
      </c>
      <c r="G127" s="183">
        <v>0.83989999999999998</v>
      </c>
      <c r="H127" s="156">
        <v>8.7000000000000001E-4</v>
      </c>
      <c r="I127" s="156">
        <v>22</v>
      </c>
      <c r="J127" s="148">
        <f t="shared" si="1"/>
        <v>8.9798573512685884</v>
      </c>
      <c r="K127" s="155">
        <f t="shared" si="1"/>
        <v>9.3016738845144321E-3</v>
      </c>
      <c r="M127" s="149">
        <f t="shared" si="24"/>
        <v>7.2673871143919477</v>
      </c>
      <c r="N127" s="148">
        <f t="shared" si="36"/>
        <v>-7.3756351830910297E-2</v>
      </c>
      <c r="O127" s="148">
        <v>22</v>
      </c>
      <c r="P127" s="149">
        <f t="shared" si="2"/>
        <v>0.78218038813887159</v>
      </c>
      <c r="Q127" s="148">
        <f t="shared" si="3"/>
        <v>7.2673871143919477</v>
      </c>
      <c r="R127" s="202">
        <f t="shared" si="4"/>
        <v>0.67972999999999995</v>
      </c>
      <c r="S127" s="203">
        <f t="shared" si="12"/>
        <v>0.31733384223852545</v>
      </c>
      <c r="T127" s="208"/>
      <c r="U127" s="135"/>
      <c r="AG127" s="136">
        <f t="shared" si="5"/>
        <v>22</v>
      </c>
      <c r="AH127" s="136">
        <f t="shared" si="6"/>
        <v>7.2673871143919477</v>
      </c>
      <c r="AI127" s="136">
        <f t="shared" si="7"/>
        <v>-7.3756351830910297E-2</v>
      </c>
      <c r="AJ127" s="136">
        <f t="shared" si="8"/>
        <v>0.70842403630796125</v>
      </c>
      <c r="AK127" s="70">
        <f t="shared" si="13"/>
        <v>6.5484086606306946E-2</v>
      </c>
      <c r="AL127" s="70">
        <f t="shared" si="14"/>
        <v>3.7519617878105498</v>
      </c>
      <c r="AM127" s="111">
        <f t="shared" si="15"/>
        <v>-0.18282843215614433</v>
      </c>
      <c r="AN127" s="111">
        <f t="shared" si="16"/>
        <v>-10.475297537540976</v>
      </c>
      <c r="AO127" s="142">
        <f t="shared" si="17"/>
        <v>1.7536247589510408</v>
      </c>
      <c r="AP127" s="142">
        <f t="shared" si="18"/>
        <v>100.47529753754097</v>
      </c>
      <c r="AR127" s="111">
        <f t="shared" si="19"/>
        <v>0.52395983741516816</v>
      </c>
      <c r="AS127" s="70">
        <f t="shared" si="20"/>
        <v>0.51633386758378641</v>
      </c>
      <c r="AW127">
        <f t="shared" si="21"/>
        <v>0.37118574288491657</v>
      </c>
      <c r="AX127">
        <f t="shared" si="22"/>
        <v>3.8082902399724401E-2</v>
      </c>
      <c r="AZ127">
        <f t="shared" si="23"/>
        <v>3.9685617596513983E-2</v>
      </c>
      <c r="BA127">
        <f t="shared" si="23"/>
        <v>4.0716636631957289E-3</v>
      </c>
      <c r="BD127" s="7"/>
      <c r="BE127" s="7"/>
      <c r="BF127" s="7"/>
      <c r="BG127" s="7"/>
      <c r="BH127" s="7"/>
      <c r="BR127" s="161"/>
      <c r="BS127" s="160"/>
      <c r="BT127" s="160"/>
      <c r="CC127" s="89"/>
      <c r="CD127" s="219">
        <f t="shared" si="9"/>
        <v>0.39212904510427293</v>
      </c>
      <c r="CE127" s="220">
        <f t="shared" si="10"/>
        <v>22</v>
      </c>
      <c r="CF127" s="76"/>
      <c r="CG127" s="219">
        <f t="shared" si="37"/>
        <v>0.03</v>
      </c>
      <c r="CH127" s="204">
        <f t="shared" si="25"/>
        <v>0.12340583454602137</v>
      </c>
      <c r="CI127" s="42">
        <f t="shared" si="26"/>
        <v>-0.12340583454602137</v>
      </c>
      <c r="CJ127" s="204">
        <f t="shared" si="27"/>
        <v>2.7559250271216089</v>
      </c>
      <c r="CK127" s="204">
        <f t="shared" si="28"/>
        <v>0.52155828176217134</v>
      </c>
      <c r="CL127" s="214">
        <f t="shared" si="28"/>
        <v>0.27474661267012856</v>
      </c>
      <c r="CM127" s="219">
        <f t="shared" si="38"/>
        <v>0.03</v>
      </c>
      <c r="CN127" s="204">
        <f t="shared" si="29"/>
        <v>0.12340583454602137</v>
      </c>
      <c r="CO127" s="42">
        <f t="shared" si="30"/>
        <v>-0.12340583454602137</v>
      </c>
      <c r="CP127" s="204">
        <f t="shared" si="33"/>
        <v>5.7309638490813635</v>
      </c>
      <c r="CQ127" s="204">
        <f t="shared" si="34"/>
        <v>0.51956870998161298</v>
      </c>
      <c r="CR127" s="214">
        <f t="shared" si="34"/>
        <v>0.27275704088957026</v>
      </c>
    </row>
    <row r="128" spans="1:96" x14ac:dyDescent="0.25">
      <c r="A128" s="186">
        <v>0.72662000000000004</v>
      </c>
      <c r="B128" s="152">
        <v>5.7020000000000001E-2</v>
      </c>
      <c r="C128" s="152">
        <v>23</v>
      </c>
      <c r="D128" s="151">
        <f t="shared" si="0"/>
        <v>7.7687152620297439</v>
      </c>
      <c r="E128" s="150">
        <f t="shared" si="0"/>
        <v>0.6096338447069114</v>
      </c>
      <c r="G128" s="183">
        <v>0.87997999999999998</v>
      </c>
      <c r="H128" s="156">
        <v>1.89E-3</v>
      </c>
      <c r="I128" s="156">
        <v>23</v>
      </c>
      <c r="J128" s="148">
        <f t="shared" si="1"/>
        <v>9.4083758447069084</v>
      </c>
      <c r="K128" s="155">
        <f t="shared" si="1"/>
        <v>2.0207084645669282E-2</v>
      </c>
      <c r="M128" s="149">
        <f t="shared" si="24"/>
        <v>7.7687152620297439</v>
      </c>
      <c r="N128" s="148">
        <f t="shared" si="36"/>
        <v>-4.3543035714729311E-2</v>
      </c>
      <c r="O128" s="148">
        <v>23</v>
      </c>
      <c r="P128" s="149">
        <f t="shared" si="2"/>
        <v>0.65317688042164068</v>
      </c>
      <c r="Q128" s="148">
        <f t="shared" si="3"/>
        <v>7.7687152620297439</v>
      </c>
      <c r="R128" s="202">
        <f t="shared" si="4"/>
        <v>0.72662000000000004</v>
      </c>
      <c r="S128" s="203">
        <f t="shared" si="12"/>
        <v>0.28304540449609106</v>
      </c>
      <c r="T128" s="208"/>
      <c r="AG128" s="136">
        <f t="shared" si="5"/>
        <v>23</v>
      </c>
      <c r="AH128" s="136">
        <f t="shared" si="6"/>
        <v>7.7687152620297439</v>
      </c>
      <c r="AI128" s="136">
        <f t="shared" si="7"/>
        <v>-4.3543035714729311E-2</v>
      </c>
      <c r="AJ128" s="136">
        <f t="shared" si="8"/>
        <v>0.6096338447069114</v>
      </c>
      <c r="AK128" s="70">
        <f t="shared" si="13"/>
        <v>6.0193741247070026E-2</v>
      </c>
      <c r="AL128" s="70">
        <f t="shared" si="14"/>
        <v>3.4488473265596533</v>
      </c>
      <c r="AM128" s="111">
        <f t="shared" si="15"/>
        <v>-0.19456410120958872</v>
      </c>
      <c r="AN128" s="111">
        <f t="shared" si="16"/>
        <v>-11.147701844065629</v>
      </c>
      <c r="AO128" s="142">
        <f t="shared" si="17"/>
        <v>1.7653604280044852</v>
      </c>
      <c r="AP128" s="142">
        <f t="shared" si="18"/>
        <v>101.14770184406562</v>
      </c>
      <c r="AR128" s="111">
        <f t="shared" si="19"/>
        <v>0.51096909257851997</v>
      </c>
      <c r="AS128" s="70">
        <f t="shared" si="20"/>
        <v>0.50223774856603554</v>
      </c>
      <c r="AW128">
        <f t="shared" si="21"/>
        <v>0.31150405243504486</v>
      </c>
      <c r="AX128">
        <f t="shared" si="22"/>
        <v>2.1868956223096127E-2</v>
      </c>
      <c r="AZ128">
        <f t="shared" si="23"/>
        <v>3.3304702407534151E-2</v>
      </c>
      <c r="BA128">
        <f t="shared" si="23"/>
        <v>2.3381367699076162E-3</v>
      </c>
      <c r="BD128" s="7"/>
      <c r="BE128" s="7"/>
      <c r="BF128" s="7"/>
      <c r="BG128" s="7"/>
      <c r="BH128" s="7"/>
      <c r="BR128" t="s">
        <v>1939</v>
      </c>
      <c r="BS128" s="159">
        <f>SUM(BS123:BS127)</f>
        <v>7.0947279931171156E-2</v>
      </c>
      <c r="CC128" s="89"/>
      <c r="CD128" s="219">
        <f t="shared" si="9"/>
        <v>0.31453649472369999</v>
      </c>
      <c r="CE128" s="220">
        <f t="shared" si="10"/>
        <v>23</v>
      </c>
      <c r="CF128" s="76"/>
      <c r="CG128" s="219">
        <f t="shared" si="37"/>
        <v>0.04</v>
      </c>
      <c r="CH128" s="204">
        <f t="shared" si="25"/>
        <v>0.12053630158587081</v>
      </c>
      <c r="CI128" s="42">
        <f t="shared" si="26"/>
        <v>-0.12053630158587081</v>
      </c>
      <c r="CJ128" s="204">
        <f t="shared" si="27"/>
        <v>2.7659250271216091</v>
      </c>
      <c r="CK128" s="204">
        <f t="shared" si="28"/>
        <v>0.51868874880202076</v>
      </c>
      <c r="CL128" s="214">
        <f t="shared" si="28"/>
        <v>0.27761614563027914</v>
      </c>
      <c r="CM128" s="219">
        <f t="shared" si="38"/>
        <v>0.04</v>
      </c>
      <c r="CN128" s="204">
        <f t="shared" si="29"/>
        <v>0.12053630158587081</v>
      </c>
      <c r="CO128" s="42">
        <f t="shared" si="30"/>
        <v>-0.12053630158587081</v>
      </c>
      <c r="CP128" s="204">
        <f t="shared" si="33"/>
        <v>5.7409638490813633</v>
      </c>
      <c r="CQ128" s="204">
        <f t="shared" si="34"/>
        <v>0.5166991770214624</v>
      </c>
      <c r="CR128" s="214">
        <f t="shared" si="34"/>
        <v>0.27562657384972084</v>
      </c>
    </row>
    <row r="129" spans="1:97" x14ac:dyDescent="0.25">
      <c r="A129" s="186">
        <v>0.77166000000000001</v>
      </c>
      <c r="B129" s="152">
        <v>4.7780000000000003E-2</v>
      </c>
      <c r="C129" s="152">
        <v>24</v>
      </c>
      <c r="D129" s="151">
        <f t="shared" si="0"/>
        <v>8.2502639881889728</v>
      </c>
      <c r="E129" s="150">
        <f t="shared" si="0"/>
        <v>0.51084365310586155</v>
      </c>
      <c r="G129" s="183">
        <v>0.91517999999999999</v>
      </c>
      <c r="H129" s="156">
        <v>2.3E-3</v>
      </c>
      <c r="I129" s="156">
        <v>24</v>
      </c>
      <c r="J129" s="148">
        <f t="shared" si="1"/>
        <v>9.7847194317585267</v>
      </c>
      <c r="K129" s="155">
        <f t="shared" si="1"/>
        <v>2.4590632108486429E-2</v>
      </c>
      <c r="M129" s="149">
        <f t="shared" si="24"/>
        <v>8.2502639881889728</v>
      </c>
      <c r="N129" s="148">
        <f t="shared" si="36"/>
        <v>-1.8018988933265E-2</v>
      </c>
      <c r="O129" s="148">
        <v>24</v>
      </c>
      <c r="P129" s="149">
        <f t="shared" si="2"/>
        <v>0.52886264203912658</v>
      </c>
      <c r="Q129" s="148">
        <f t="shared" si="3"/>
        <v>8.2502639881889728</v>
      </c>
      <c r="R129" s="202">
        <f t="shared" si="4"/>
        <v>0.77166000000000001</v>
      </c>
      <c r="S129" s="203">
        <f t="shared" si="12"/>
        <v>0.24641233208629829</v>
      </c>
      <c r="T129" s="208"/>
      <c r="AG129" s="136">
        <f t="shared" si="5"/>
        <v>24</v>
      </c>
      <c r="AH129" s="136">
        <f t="shared" si="6"/>
        <v>8.2502639881889728</v>
      </c>
      <c r="AI129" s="136">
        <f t="shared" si="7"/>
        <v>-1.8018988933265E-2</v>
      </c>
      <c r="AJ129" s="136">
        <f t="shared" si="8"/>
        <v>0.51084365310586155</v>
      </c>
      <c r="AK129" s="70">
        <f t="shared" si="13"/>
        <v>5.2954525497922497E-2</v>
      </c>
      <c r="AL129" s="70">
        <f t="shared" si="14"/>
        <v>3.0340708171488635</v>
      </c>
      <c r="AM129" s="111">
        <f t="shared" si="15"/>
        <v>-0.20234348057007559</v>
      </c>
      <c r="AN129" s="111">
        <f t="shared" si="16"/>
        <v>-11.593427448652708</v>
      </c>
      <c r="AO129" s="142">
        <f t="shared" si="17"/>
        <v>1.773139807364972</v>
      </c>
      <c r="AP129" s="142">
        <f t="shared" si="18"/>
        <v>101.59342744865269</v>
      </c>
      <c r="AR129" s="111">
        <f t="shared" si="19"/>
        <v>0.49157774321275782</v>
      </c>
      <c r="AS129" s="70">
        <f t="shared" si="20"/>
        <v>0.48222469102035653</v>
      </c>
      <c r="AU129" t="s">
        <v>1938</v>
      </c>
      <c r="AV129" t="s">
        <v>1937</v>
      </c>
      <c r="AW129">
        <f t="shared" si="21"/>
        <v>0.25111937012834035</v>
      </c>
      <c r="AX129">
        <f t="shared" si="22"/>
        <v>8.6892013708429385E-3</v>
      </c>
      <c r="AZ129">
        <f t="shared" si="23"/>
        <v>2.6848626287568927E-2</v>
      </c>
      <c r="BA129">
        <f t="shared" si="23"/>
        <v>9.2901284446502016E-4</v>
      </c>
      <c r="BD129" s="7"/>
      <c r="BE129" s="7"/>
      <c r="BF129" s="7"/>
      <c r="BG129" s="7"/>
      <c r="BH129" s="7"/>
      <c r="CC129" s="89"/>
      <c r="CD129" s="219">
        <f t="shared" si="9"/>
        <v>0.24093299593535356</v>
      </c>
      <c r="CE129" s="220">
        <f t="shared" si="10"/>
        <v>24</v>
      </c>
      <c r="CF129" s="76"/>
      <c r="CG129" s="219">
        <f t="shared" si="37"/>
        <v>0.05</v>
      </c>
      <c r="CH129" s="204">
        <f t="shared" si="25"/>
        <v>0.1167433081593973</v>
      </c>
      <c r="CI129" s="42">
        <f t="shared" si="26"/>
        <v>-0.1167433081593973</v>
      </c>
      <c r="CJ129" s="204">
        <f t="shared" si="27"/>
        <v>2.7759250271216089</v>
      </c>
      <c r="CK129" s="204">
        <f t="shared" si="28"/>
        <v>0.51489575537554721</v>
      </c>
      <c r="CL129" s="214">
        <f t="shared" si="28"/>
        <v>0.28140913905675263</v>
      </c>
      <c r="CM129" s="219">
        <f t="shared" si="38"/>
        <v>0.05</v>
      </c>
      <c r="CN129" s="204">
        <f t="shared" si="29"/>
        <v>0.1167433081593973</v>
      </c>
      <c r="CO129" s="42">
        <f t="shared" si="30"/>
        <v>-0.1167433081593973</v>
      </c>
      <c r="CP129" s="204">
        <f t="shared" si="33"/>
        <v>5.750963849081363</v>
      </c>
      <c r="CQ129" s="204">
        <f t="shared" si="34"/>
        <v>0.51290618359498896</v>
      </c>
      <c r="CR129" s="214">
        <f t="shared" si="34"/>
        <v>0.27941956727619432</v>
      </c>
    </row>
    <row r="130" spans="1:97" s="89" customFormat="1" x14ac:dyDescent="0.25">
      <c r="A130" s="186">
        <v>0.81427000000000005</v>
      </c>
      <c r="B130" s="152">
        <v>3.8850000000000003E-2</v>
      </c>
      <c r="C130" s="152">
        <v>25</v>
      </c>
      <c r="D130" s="151">
        <f t="shared" si="0"/>
        <v>8.7058321769466289</v>
      </c>
      <c r="E130" s="150">
        <f t="shared" si="0"/>
        <v>0.41536785104986862</v>
      </c>
      <c r="F130" s="158"/>
      <c r="G130" s="183">
        <v>0.94491000000000003</v>
      </c>
      <c r="H130" s="156">
        <v>2.16E-3</v>
      </c>
      <c r="I130" s="156">
        <v>25</v>
      </c>
      <c r="J130" s="148">
        <f t="shared" si="1"/>
        <v>10.102580080708657</v>
      </c>
      <c r="K130" s="155">
        <f t="shared" si="1"/>
        <v>2.3093811023622037E-2</v>
      </c>
      <c r="L130" s="158"/>
      <c r="M130" s="149">
        <f t="shared" si="24"/>
        <v>8.7058321769466289</v>
      </c>
      <c r="N130" s="148">
        <f t="shared" si="36"/>
        <v>2.3279793284166593E-3</v>
      </c>
      <c r="O130" s="148">
        <v>25</v>
      </c>
      <c r="P130" s="149">
        <f t="shared" si="2"/>
        <v>0.41303987172145196</v>
      </c>
      <c r="Q130" s="148">
        <f t="shared" si="3"/>
        <v>8.7058321769466289</v>
      </c>
      <c r="R130" s="202">
        <f t="shared" si="4"/>
        <v>0.81427000000000005</v>
      </c>
      <c r="S130" s="203">
        <f t="shared" si="12"/>
        <v>0.20884791518914264</v>
      </c>
      <c r="T130" s="208"/>
      <c r="AG130" s="157">
        <f t="shared" si="5"/>
        <v>25</v>
      </c>
      <c r="AH130" s="157">
        <f t="shared" si="6"/>
        <v>8.7058321769466289</v>
      </c>
      <c r="AI130" s="157">
        <f t="shared" si="7"/>
        <v>2.3279793284166593E-3</v>
      </c>
      <c r="AJ130" s="157">
        <f t="shared" si="8"/>
        <v>0.41536785104986862</v>
      </c>
      <c r="AK130" s="89">
        <f t="shared" si="13"/>
        <v>4.4633176251234967E-2</v>
      </c>
      <c r="AL130" s="89">
        <f t="shared" si="14"/>
        <v>2.5572926254593007</v>
      </c>
      <c r="AM130" s="89">
        <f t="shared" si="15"/>
        <v>-0.20658531826301693</v>
      </c>
      <c r="AN130" s="89">
        <f t="shared" si="16"/>
        <v>-11.836466845837757</v>
      </c>
      <c r="AO130" s="89">
        <f t="shared" si="17"/>
        <v>1.7773816450579134</v>
      </c>
      <c r="AP130" s="89">
        <f t="shared" si="18"/>
        <v>101.83646684583776</v>
      </c>
      <c r="AR130" s="111">
        <f t="shared" si="19"/>
        <v>0.4654653621765712</v>
      </c>
      <c r="AS130" s="70">
        <f t="shared" si="20"/>
        <v>0.45602233906396877</v>
      </c>
      <c r="AU130" s="89">
        <f>SUM(AR118:AR138)</f>
        <v>8.4959279896241799</v>
      </c>
      <c r="AV130" s="89">
        <f>SUM(AS118:AS138)</f>
        <v>8.4025772244943724</v>
      </c>
      <c r="AW130">
        <f t="shared" si="21"/>
        <v>0.19333934722543117</v>
      </c>
      <c r="AX130">
        <f t="shared" si="22"/>
        <v>1.0616105786371321E-3</v>
      </c>
      <c r="AZ130">
        <f t="shared" si="23"/>
        <v>2.0671029390067364E-2</v>
      </c>
      <c r="BA130">
        <f t="shared" si="23"/>
        <v>1.1350293557279615E-4</v>
      </c>
      <c r="BD130" s="141"/>
      <c r="BE130" s="141"/>
      <c r="BF130" s="141"/>
      <c r="BG130" s="141"/>
      <c r="BH130" s="141"/>
      <c r="CD130" s="221">
        <f t="shared" si="9"/>
        <v>0.17461055737434383</v>
      </c>
      <c r="CE130" s="222">
        <f t="shared" si="10"/>
        <v>25</v>
      </c>
      <c r="CF130" s="76"/>
      <c r="CG130" s="219">
        <f t="shared" si="37"/>
        <v>6.0000000000000005E-2</v>
      </c>
      <c r="CH130" s="204">
        <f t="shared" si="25"/>
        <v>0.11193301568348814</v>
      </c>
      <c r="CI130" s="42">
        <f t="shared" si="26"/>
        <v>-0.11193301568348814</v>
      </c>
      <c r="CJ130" s="204">
        <f t="shared" si="27"/>
        <v>2.7859250271216092</v>
      </c>
      <c r="CK130" s="204">
        <f t="shared" si="28"/>
        <v>0.51008546289963808</v>
      </c>
      <c r="CL130" s="214">
        <f t="shared" si="28"/>
        <v>0.28621943153266183</v>
      </c>
      <c r="CM130" s="219">
        <f t="shared" si="38"/>
        <v>6.0000000000000005E-2</v>
      </c>
      <c r="CN130" s="204">
        <f t="shared" si="29"/>
        <v>0.11193301568348814</v>
      </c>
      <c r="CO130" s="42">
        <f t="shared" si="30"/>
        <v>-0.11193301568348814</v>
      </c>
      <c r="CP130" s="204">
        <f t="shared" si="33"/>
        <v>5.7609638490813628</v>
      </c>
      <c r="CQ130" s="204">
        <f t="shared" si="34"/>
        <v>0.50809589111907982</v>
      </c>
      <c r="CR130" s="214">
        <f t="shared" si="34"/>
        <v>0.28422985975210352</v>
      </c>
    </row>
    <row r="131" spans="1:97" x14ac:dyDescent="0.25">
      <c r="A131" s="186">
        <v>0.85380999999999996</v>
      </c>
      <c r="B131" s="152">
        <v>3.049E-2</v>
      </c>
      <c r="C131" s="152">
        <v>26</v>
      </c>
      <c r="D131" s="151">
        <f t="shared" si="0"/>
        <v>9.1285772176290418</v>
      </c>
      <c r="E131" s="150">
        <f t="shared" si="0"/>
        <v>0.32598624912510921</v>
      </c>
      <c r="G131" s="183">
        <v>0.96863999999999995</v>
      </c>
      <c r="H131" s="156">
        <v>1.6299999999999999E-3</v>
      </c>
      <c r="I131" s="156">
        <v>26</v>
      </c>
      <c r="J131" s="148">
        <f t="shared" si="1"/>
        <v>10.356291254593172</v>
      </c>
      <c r="K131" s="155">
        <f t="shared" si="1"/>
        <v>1.7427274059492556E-2</v>
      </c>
      <c r="M131" s="149">
        <f t="shared" si="24"/>
        <v>9.1285772176290418</v>
      </c>
      <c r="N131" s="148">
        <f t="shared" si="36"/>
        <v>1.6948066546182767E-2</v>
      </c>
      <c r="O131" s="148">
        <v>26</v>
      </c>
      <c r="P131" s="149">
        <f t="shared" si="2"/>
        <v>0.30903818257892646</v>
      </c>
      <c r="Q131" s="148">
        <f t="shared" si="3"/>
        <v>9.1285772176290418</v>
      </c>
      <c r="R131" s="202">
        <f t="shared" si="4"/>
        <v>0.85380999999999996</v>
      </c>
      <c r="S131" s="203">
        <f t="shared" si="12"/>
        <v>0.17146715783564598</v>
      </c>
      <c r="T131" s="208"/>
      <c r="AG131" s="136">
        <f t="shared" si="5"/>
        <v>26</v>
      </c>
      <c r="AH131" s="136">
        <f t="shared" si="6"/>
        <v>9.1285772176290418</v>
      </c>
      <c r="AI131" s="136">
        <f t="shared" si="7"/>
        <v>1.6948066546182767E-2</v>
      </c>
      <c r="AJ131" s="136">
        <f t="shared" si="8"/>
        <v>0.32598624912510921</v>
      </c>
      <c r="AK131" s="70">
        <f t="shared" si="13"/>
        <v>3.456992109208995E-2</v>
      </c>
      <c r="AL131" s="70">
        <f t="shared" si="14"/>
        <v>1.9807105766770399</v>
      </c>
      <c r="AM131" s="111">
        <f t="shared" si="15"/>
        <v>-0.20836279943097891</v>
      </c>
      <c r="AN131" s="111">
        <f t="shared" si="16"/>
        <v>-11.938309014925963</v>
      </c>
      <c r="AO131" s="142">
        <f t="shared" si="17"/>
        <v>1.7791591262258755</v>
      </c>
      <c r="AP131" s="142">
        <f t="shared" si="18"/>
        <v>101.93830901492596</v>
      </c>
      <c r="AQ131" s="89"/>
      <c r="AR131" s="111">
        <f t="shared" si="19"/>
        <v>0.43209077771252086</v>
      </c>
      <c r="AS131" s="70">
        <f t="shared" si="20"/>
        <v>0.42299777348330103</v>
      </c>
      <c r="AW131">
        <f t="shared" si="21"/>
        <v>0.14085565190805602</v>
      </c>
      <c r="AX131">
        <f t="shared" si="22"/>
        <v>7.1689944138821297E-3</v>
      </c>
      <c r="AZ131">
        <f t="shared" si="23"/>
        <v>1.505969354987839E-2</v>
      </c>
      <c r="BA131">
        <f t="shared" si="23"/>
        <v>7.664787139981293E-4</v>
      </c>
      <c r="BD131" s="7"/>
      <c r="BE131" s="7"/>
      <c r="BF131" s="7"/>
      <c r="BG131" s="7"/>
      <c r="BH131" s="7"/>
      <c r="CC131" s="89"/>
      <c r="CD131" s="219">
        <f t="shared" si="9"/>
        <v>0.11848524825830987</v>
      </c>
      <c r="CE131" s="220">
        <f t="shared" si="10"/>
        <v>26</v>
      </c>
      <c r="CF131" s="214"/>
      <c r="CG131" s="219">
        <f t="shared" si="37"/>
        <v>7.0000000000000007E-2</v>
      </c>
      <c r="CH131" s="204">
        <f t="shared" si="25"/>
        <v>0.1059669759878048</v>
      </c>
      <c r="CI131" s="42">
        <f t="shared" si="26"/>
        <v>-0.1059669759878048</v>
      </c>
      <c r="CJ131" s="204">
        <f t="shared" si="27"/>
        <v>2.795925027121609</v>
      </c>
      <c r="CK131" s="204">
        <f t="shared" si="28"/>
        <v>0.50411942320395475</v>
      </c>
      <c r="CL131" s="214">
        <f t="shared" si="28"/>
        <v>0.29218547122834515</v>
      </c>
      <c r="CM131" s="219">
        <f t="shared" si="38"/>
        <v>7.0000000000000007E-2</v>
      </c>
      <c r="CN131" s="204">
        <f t="shared" si="29"/>
        <v>0.1059669759878048</v>
      </c>
      <c r="CO131" s="42">
        <f t="shared" si="30"/>
        <v>-0.1059669759878048</v>
      </c>
      <c r="CP131" s="204">
        <f t="shared" si="33"/>
        <v>5.7709638490813635</v>
      </c>
      <c r="CQ131" s="204">
        <f t="shared" si="34"/>
        <v>0.5021298514233965</v>
      </c>
      <c r="CR131" s="214">
        <f t="shared" si="34"/>
        <v>0.29019589944778684</v>
      </c>
    </row>
    <row r="132" spans="1:97" x14ac:dyDescent="0.25">
      <c r="A132" s="186">
        <v>0.88966999999999996</v>
      </c>
      <c r="B132" s="152">
        <v>2.2890000000000001E-2</v>
      </c>
      <c r="C132" s="152">
        <v>27</v>
      </c>
      <c r="D132" s="151">
        <f t="shared" si="0"/>
        <v>9.511977246937878</v>
      </c>
      <c r="E132" s="150">
        <f t="shared" si="0"/>
        <v>0.244730247375328</v>
      </c>
      <c r="G132" s="183">
        <v>0.98592999999999997</v>
      </c>
      <c r="H132" s="156">
        <v>9.2000000000000003E-4</v>
      </c>
      <c r="I132" s="156">
        <v>27</v>
      </c>
      <c r="J132" s="148">
        <f t="shared" si="1"/>
        <v>10.541148658573924</v>
      </c>
      <c r="K132" s="155">
        <f t="shared" si="1"/>
        <v>9.8362528433945714E-3</v>
      </c>
      <c r="M132" s="149">
        <f t="shared" si="24"/>
        <v>9.511977246937878</v>
      </c>
      <c r="N132" s="148">
        <f t="shared" ref="N132:N137" si="39">((K129-K128)/(J129-J128))*(M132-J128)+K128</f>
        <v>2.1413805523927736E-2</v>
      </c>
      <c r="O132" s="148">
        <v>27</v>
      </c>
      <c r="P132" s="149">
        <f t="shared" si="2"/>
        <v>0.22331644185140026</v>
      </c>
      <c r="Q132" s="148">
        <f t="shared" si="3"/>
        <v>9.511977246937878</v>
      </c>
      <c r="R132" s="202">
        <f t="shared" si="4"/>
        <v>0.88966999999999985</v>
      </c>
      <c r="S132" s="203">
        <f t="shared" si="12"/>
        <v>0.13307202644962787</v>
      </c>
      <c r="T132" s="208"/>
      <c r="AG132" s="136">
        <f t="shared" si="5"/>
        <v>27</v>
      </c>
      <c r="AH132" s="136">
        <f t="shared" si="6"/>
        <v>9.511977246937878</v>
      </c>
      <c r="AI132" s="136">
        <f t="shared" si="7"/>
        <v>2.1413805523927736E-2</v>
      </c>
      <c r="AJ132" s="136">
        <f t="shared" si="8"/>
        <v>0.244730247375328</v>
      </c>
      <c r="AK132" s="70">
        <f t="shared" si="13"/>
        <v>1.1647200568292987E-2</v>
      </c>
      <c r="AL132" s="70">
        <f t="shared" si="14"/>
        <v>0.66733543570556209</v>
      </c>
      <c r="AM132" s="111">
        <f t="shared" si="15"/>
        <v>-0.20884503276592842</v>
      </c>
      <c r="AN132" s="111">
        <f t="shared" si="16"/>
        <v>-11.965938949759087</v>
      </c>
      <c r="AO132" s="142">
        <f t="shared" si="17"/>
        <v>1.7796413595608249</v>
      </c>
      <c r="AP132" s="142">
        <f t="shared" si="18"/>
        <v>101.96593894975909</v>
      </c>
      <c r="AR132" s="111">
        <f t="shared" si="19"/>
        <v>0.39191596075482421</v>
      </c>
      <c r="AS132" s="70">
        <f t="shared" si="20"/>
        <v>0.38342603628161953</v>
      </c>
      <c r="AW132">
        <f t="shared" si="21"/>
        <v>9.5913690025867471E-2</v>
      </c>
      <c r="AX132">
        <f t="shared" si="22"/>
        <v>8.2106105737450603E-3</v>
      </c>
      <c r="AZ132">
        <f t="shared" si="23"/>
        <v>1.0254688111276136E-2</v>
      </c>
      <c r="BA132">
        <f t="shared" si="23"/>
        <v>8.7784393045658017E-4</v>
      </c>
      <c r="BD132" s="7"/>
      <c r="BE132" s="7"/>
      <c r="BF132" s="7"/>
      <c r="BG132" s="7"/>
      <c r="BH132" s="7"/>
      <c r="CC132" s="89"/>
      <c r="CD132" s="219">
        <f t="shared" si="9"/>
        <v>7.5448331262987056E-2</v>
      </c>
      <c r="CE132" s="220">
        <f t="shared" si="10"/>
        <v>27</v>
      </c>
      <c r="CF132" s="76"/>
      <c r="CG132" s="219">
        <f t="shared" si="37"/>
        <v>0.08</v>
      </c>
      <c r="CH132" s="204">
        <f t="shared" si="25"/>
        <v>9.8635693336641586E-2</v>
      </c>
      <c r="CI132" s="42">
        <f t="shared" si="26"/>
        <v>-9.8635693336641586E-2</v>
      </c>
      <c r="CJ132" s="204">
        <f t="shared" si="27"/>
        <v>2.8059250271216092</v>
      </c>
      <c r="CK132" s="204">
        <f t="shared" si="28"/>
        <v>0.49678814055279152</v>
      </c>
      <c r="CL132" s="214">
        <f t="shared" si="28"/>
        <v>0.29951675387950838</v>
      </c>
      <c r="CM132" s="219">
        <f t="shared" si="38"/>
        <v>0.08</v>
      </c>
      <c r="CN132" s="204">
        <f t="shared" si="29"/>
        <v>9.8635693336641586E-2</v>
      </c>
      <c r="CO132" s="42">
        <f t="shared" si="30"/>
        <v>-9.8635693336641586E-2</v>
      </c>
      <c r="CP132" s="204">
        <f t="shared" si="33"/>
        <v>5.7809638490813633</v>
      </c>
      <c r="CQ132" s="204">
        <f t="shared" si="34"/>
        <v>0.49479856877223322</v>
      </c>
      <c r="CR132" s="214">
        <f t="shared" si="34"/>
        <v>0.29752718209895007</v>
      </c>
    </row>
    <row r="133" spans="1:97" x14ac:dyDescent="0.25">
      <c r="A133" s="186">
        <v>0.92127000000000003</v>
      </c>
      <c r="B133" s="152">
        <v>1.6150000000000001E-2</v>
      </c>
      <c r="C133" s="152">
        <v>28</v>
      </c>
      <c r="D133" s="151">
        <f t="shared" si="0"/>
        <v>9.8498311489501269</v>
      </c>
      <c r="E133" s="150">
        <f t="shared" si="0"/>
        <v>0.17266900371828517</v>
      </c>
      <c r="G133" s="183">
        <v>0.99646000000000001</v>
      </c>
      <c r="H133" s="156">
        <v>2.7E-4</v>
      </c>
      <c r="I133" s="156">
        <v>28</v>
      </c>
      <c r="J133" s="148">
        <f t="shared" si="1"/>
        <v>10.653730987314082</v>
      </c>
      <c r="K133" s="155">
        <f t="shared" si="1"/>
        <v>2.8867263779527546E-3</v>
      </c>
      <c r="M133" s="149">
        <f t="shared" si="24"/>
        <v>9.8498311489501269</v>
      </c>
      <c r="N133" s="148">
        <f t="shared" si="39"/>
        <v>2.4284017900386059E-2</v>
      </c>
      <c r="O133" s="148">
        <v>28</v>
      </c>
      <c r="P133" s="149">
        <f t="shared" si="2"/>
        <v>0.14838498581789911</v>
      </c>
      <c r="Q133" s="148">
        <f t="shared" si="3"/>
        <v>9.8498311489501269</v>
      </c>
      <c r="R133" s="202">
        <f t="shared" si="4"/>
        <v>0.92126999999999992</v>
      </c>
      <c r="S133" s="203">
        <f t="shared" si="12"/>
        <v>9.8476510809335616E-2</v>
      </c>
      <c r="T133" s="208"/>
      <c r="AG133" s="136">
        <f t="shared" si="5"/>
        <v>28</v>
      </c>
      <c r="AH133" s="136">
        <f t="shared" si="6"/>
        <v>9.8498311489501269</v>
      </c>
      <c r="AI133" s="136">
        <f t="shared" si="7"/>
        <v>2.4284017900386059E-2</v>
      </c>
      <c r="AJ133" s="136">
        <f t="shared" si="8"/>
        <v>0.17266900371828517</v>
      </c>
      <c r="AK133" s="70">
        <f t="shared" si="13"/>
        <v>8.4952203081504769E-3</v>
      </c>
      <c r="AL133" s="70">
        <f t="shared" si="14"/>
        <v>0.48674026969084894</v>
      </c>
      <c r="AM133" s="111">
        <f t="shared" si="15"/>
        <v>-0.21014222893126419</v>
      </c>
      <c r="AN133" s="111">
        <f t="shared" si="16"/>
        <v>-12.040262815233383</v>
      </c>
      <c r="AO133" s="142">
        <f t="shared" si="17"/>
        <v>1.7809385557261608</v>
      </c>
      <c r="AP133" s="142">
        <f t="shared" si="18"/>
        <v>102.04026281523338</v>
      </c>
      <c r="AR133" s="111">
        <f t="shared" si="19"/>
        <v>0.34545344395779576</v>
      </c>
      <c r="AS133" s="70">
        <f t="shared" si="20"/>
        <v>0.33786609362880471</v>
      </c>
      <c r="AW133">
        <f t="shared" si="21"/>
        <v>5.9649101999243052E-2</v>
      </c>
      <c r="AX133">
        <f t="shared" si="22"/>
        <v>8.2047462656154053E-3</v>
      </c>
      <c r="AZ133">
        <f t="shared" si="23"/>
        <v>6.3774309689781225E-3</v>
      </c>
      <c r="BA133">
        <f t="shared" si="23"/>
        <v>8.772169433096795E-4</v>
      </c>
      <c r="BD133" s="7"/>
      <c r="BE133" s="7"/>
      <c r="BF133" s="7"/>
      <c r="BG133" s="7"/>
      <c r="BH133" s="7"/>
      <c r="CC133" s="89"/>
      <c r="CD133" s="219">
        <f t="shared" si="9"/>
        <v>4.2691902981049988E-2</v>
      </c>
      <c r="CE133" s="223">
        <f t="shared" si="10"/>
        <v>28</v>
      </c>
      <c r="CF133" s="76"/>
      <c r="CG133" s="219">
        <f t="shared" si="37"/>
        <v>0.09</v>
      </c>
      <c r="CH133" s="204">
        <f t="shared" si="25"/>
        <v>8.9604687377391148E-2</v>
      </c>
      <c r="CI133" s="42">
        <f t="shared" si="26"/>
        <v>-8.9604687377391148E-2</v>
      </c>
      <c r="CJ133" s="204">
        <f t="shared" si="27"/>
        <v>2.815925027121609</v>
      </c>
      <c r="CK133" s="204">
        <f t="shared" si="28"/>
        <v>0.48775713459354109</v>
      </c>
      <c r="CL133" s="214">
        <f t="shared" si="28"/>
        <v>0.30854775983875882</v>
      </c>
      <c r="CM133" s="219">
        <f t="shared" si="38"/>
        <v>0.09</v>
      </c>
      <c r="CN133" s="204">
        <f t="shared" si="29"/>
        <v>8.9604687377391148E-2</v>
      </c>
      <c r="CO133" s="42">
        <f t="shared" si="30"/>
        <v>-8.9604687377391148E-2</v>
      </c>
      <c r="CP133" s="204">
        <f t="shared" si="33"/>
        <v>5.7909638490813631</v>
      </c>
      <c r="CQ133" s="204">
        <f t="shared" si="34"/>
        <v>0.48576756281298278</v>
      </c>
      <c r="CR133" s="214">
        <f t="shared" si="34"/>
        <v>0.30655818805820051</v>
      </c>
    </row>
    <row r="134" spans="1:97" ht="15.75" thickBot="1" x14ac:dyDescent="0.3">
      <c r="A134" s="186">
        <v>0.94818000000000002</v>
      </c>
      <c r="B134" s="152">
        <v>1.0359999999999999E-2</v>
      </c>
      <c r="C134" s="152">
        <v>29</v>
      </c>
      <c r="D134" s="151">
        <f t="shared" si="0"/>
        <v>10.137541544619419</v>
      </c>
      <c r="E134" s="150">
        <f t="shared" si="0"/>
        <v>0.11076476027996496</v>
      </c>
      <c r="G134" s="184">
        <v>1.0000100000000001</v>
      </c>
      <c r="H134" s="154">
        <v>0</v>
      </c>
      <c r="I134" s="154">
        <v>29</v>
      </c>
      <c r="J134" s="143">
        <f t="shared" si="1"/>
        <v>10.691686093394573</v>
      </c>
      <c r="K134" s="153">
        <f t="shared" si="1"/>
        <v>0</v>
      </c>
      <c r="M134" s="149">
        <f t="shared" si="24"/>
        <v>10.137541544619419</v>
      </c>
      <c r="N134" s="148">
        <f t="shared" si="39"/>
        <v>2.2312960797212282E-2</v>
      </c>
      <c r="O134" s="148">
        <v>29</v>
      </c>
      <c r="P134" s="149">
        <f t="shared" si="2"/>
        <v>8.8451799482752669E-2</v>
      </c>
      <c r="Q134" s="148">
        <f t="shared" si="3"/>
        <v>10.137541544619419</v>
      </c>
      <c r="R134" s="202">
        <f t="shared" si="4"/>
        <v>0.94818000000000002</v>
      </c>
      <c r="S134" s="203">
        <f t="shared" si="12"/>
        <v>6.6538860538588623E-2</v>
      </c>
      <c r="T134" s="208"/>
      <c r="AG134" s="136">
        <f t="shared" si="5"/>
        <v>29</v>
      </c>
      <c r="AH134" s="136">
        <f t="shared" si="6"/>
        <v>10.137541544619419</v>
      </c>
      <c r="AI134" s="136">
        <f t="shared" si="7"/>
        <v>2.2312960797212282E-2</v>
      </c>
      <c r="AJ134" s="136">
        <f t="shared" si="8"/>
        <v>0.11076476027996496</v>
      </c>
      <c r="AK134" s="70">
        <f t="shared" si="13"/>
        <v>-6.8507300994266364E-3</v>
      </c>
      <c r="AL134" s="70">
        <f t="shared" si="14"/>
        <v>-0.3925179212803851</v>
      </c>
      <c r="AM134" s="111">
        <f t="shared" si="15"/>
        <v>-0.21193066270658767</v>
      </c>
      <c r="AN134" s="111">
        <f t="shared" si="16"/>
        <v>-12.142732522498065</v>
      </c>
      <c r="AO134" s="142">
        <f t="shared" si="17"/>
        <v>1.7827269895014841</v>
      </c>
      <c r="AP134" s="142">
        <f t="shared" si="18"/>
        <v>102.14273252249805</v>
      </c>
      <c r="AR134" s="111">
        <f t="shared" si="19"/>
        <v>0.29429476232486906</v>
      </c>
      <c r="AS134" s="70">
        <f t="shared" si="20"/>
        <v>0.28771714728580977</v>
      </c>
      <c r="AW134">
        <f t="shared" si="21"/>
        <v>3.2597488800563387E-2</v>
      </c>
      <c r="AX134">
        <f t="shared" si="22"/>
        <v>6.4198214280740259E-3</v>
      </c>
      <c r="AZ134">
        <f t="shared" si="23"/>
        <v>3.4851863250224381E-3</v>
      </c>
      <c r="BA134">
        <f t="shared" si="23"/>
        <v>6.8638029104324495E-4</v>
      </c>
      <c r="BD134" s="7"/>
      <c r="BE134" s="7"/>
      <c r="BF134" s="7"/>
      <c r="BG134" s="7"/>
      <c r="BH134" s="7"/>
      <c r="CC134" s="89"/>
      <c r="CD134" s="219">
        <f t="shared" si="9"/>
        <v>2.0672770668108482E-2</v>
      </c>
      <c r="CE134" s="223">
        <f t="shared" si="10"/>
        <v>29</v>
      </c>
      <c r="CF134" s="76"/>
      <c r="CG134" s="219">
        <f t="shared" si="37"/>
        <v>9.9999999999999992E-2</v>
      </c>
      <c r="CH134" s="204">
        <f t="shared" si="25"/>
        <v>7.8287930104199349E-2</v>
      </c>
      <c r="CI134" s="42">
        <f t="shared" si="26"/>
        <v>-7.8287930104199349E-2</v>
      </c>
      <c r="CJ134" s="204">
        <f t="shared" si="27"/>
        <v>2.8259250271216092</v>
      </c>
      <c r="CK134" s="204">
        <f t="shared" si="28"/>
        <v>0.47644037732034927</v>
      </c>
      <c r="CL134" s="214">
        <f t="shared" si="28"/>
        <v>0.31986451711195063</v>
      </c>
      <c r="CM134" s="219">
        <f t="shared" si="38"/>
        <v>9.9999999999999992E-2</v>
      </c>
      <c r="CN134" s="204">
        <f t="shared" si="29"/>
        <v>7.8287930104199349E-2</v>
      </c>
      <c r="CO134" s="42">
        <f t="shared" si="30"/>
        <v>-7.8287930104199349E-2</v>
      </c>
      <c r="CP134" s="204">
        <f t="shared" si="33"/>
        <v>5.8009638490813629</v>
      </c>
      <c r="CQ134" s="204">
        <f t="shared" si="34"/>
        <v>0.47445080553979102</v>
      </c>
      <c r="CR134" s="214">
        <f t="shared" si="34"/>
        <v>0.31787494533139227</v>
      </c>
    </row>
    <row r="135" spans="1:97" x14ac:dyDescent="0.25">
      <c r="A135" s="186">
        <v>0.97004000000000001</v>
      </c>
      <c r="B135" s="152">
        <v>5.7099999999999998E-3</v>
      </c>
      <c r="C135" s="152">
        <v>30</v>
      </c>
      <c r="D135" s="151">
        <f t="shared" si="0"/>
        <v>10.371259465441815</v>
      </c>
      <c r="E135" s="150">
        <f t="shared" si="0"/>
        <v>6.1048917104111963E-2</v>
      </c>
      <c r="M135" s="149">
        <f t="shared" si="24"/>
        <v>10.371259465441815</v>
      </c>
      <c r="N135" s="148">
        <f t="shared" si="39"/>
        <v>1.6812616471144574E-2</v>
      </c>
      <c r="O135" s="148">
        <v>30</v>
      </c>
      <c r="P135" s="149">
        <f t="shared" si="2"/>
        <v>4.4236300632967393E-2</v>
      </c>
      <c r="Q135" s="148">
        <f t="shared" si="3"/>
        <v>10.371259465441815</v>
      </c>
      <c r="R135" s="202">
        <f t="shared" si="4"/>
        <v>0.9700399999999999</v>
      </c>
      <c r="S135" s="203">
        <f t="shared" si="12"/>
        <v>3.8930766787628267E-2</v>
      </c>
      <c r="T135" s="208"/>
      <c r="AG135" s="136">
        <f t="shared" si="5"/>
        <v>30</v>
      </c>
      <c r="AH135" s="136">
        <f t="shared" si="6"/>
        <v>10.371259465441815</v>
      </c>
      <c r="AI135" s="136">
        <f t="shared" si="7"/>
        <v>1.6812616471144574E-2</v>
      </c>
      <c r="AJ135" s="136">
        <f t="shared" si="8"/>
        <v>6.1048917104111963E-2</v>
      </c>
      <c r="AK135" s="70">
        <f t="shared" si="13"/>
        <v>-2.3529771189390147E-2</v>
      </c>
      <c r="AL135" s="70">
        <f t="shared" si="14"/>
        <v>-1.3481565820605745</v>
      </c>
      <c r="AM135" s="111">
        <f t="shared" si="15"/>
        <v>-0.20959328747138611</v>
      </c>
      <c r="AN135" s="111">
        <f t="shared" si="16"/>
        <v>-12.008810786382618</v>
      </c>
      <c r="AO135" s="142">
        <f t="shared" si="17"/>
        <v>1.7803896142662825</v>
      </c>
      <c r="AP135" s="142">
        <f t="shared" si="18"/>
        <v>102.0088107863826</v>
      </c>
      <c r="AR135" s="111">
        <f t="shared" si="19"/>
        <v>0.23894713134128648</v>
      </c>
      <c r="AS135" s="70">
        <f t="shared" si="20"/>
        <v>0.2337826347298903</v>
      </c>
      <c r="AW135">
        <f t="shared" si="21"/>
        <v>1.4587463613519551E-2</v>
      </c>
      <c r="AX135">
        <f t="shared" si="22"/>
        <v>3.9304977753273291E-3</v>
      </c>
      <c r="AZ135">
        <f t="shared" si="23"/>
        <v>1.5596302222434404E-3</v>
      </c>
      <c r="BA135">
        <f t="shared" si="23"/>
        <v>4.2023228172303779E-4</v>
      </c>
      <c r="BD135" s="7"/>
      <c r="BE135" s="7"/>
      <c r="BF135" s="7"/>
      <c r="BG135" s="7"/>
      <c r="BH135" s="7"/>
      <c r="CC135" s="89"/>
      <c r="CD135" s="219">
        <f t="shared" si="9"/>
        <v>7.7091813450882885E-3</v>
      </c>
      <c r="CE135" s="223">
        <f t="shared" si="10"/>
        <v>30</v>
      </c>
      <c r="CF135" s="76"/>
      <c r="CG135" s="219">
        <f t="shared" si="37"/>
        <v>0.10999999999999999</v>
      </c>
      <c r="CH135" s="204">
        <f t="shared" si="25"/>
        <v>6.3474404290233419E-2</v>
      </c>
      <c r="CI135" s="42">
        <f t="shared" si="26"/>
        <v>-6.3474404290233419E-2</v>
      </c>
      <c r="CJ135" s="204">
        <f t="shared" si="27"/>
        <v>2.835925027121609</v>
      </c>
      <c r="CK135" s="204">
        <f t="shared" si="28"/>
        <v>0.46162685150638338</v>
      </c>
      <c r="CL135" s="214">
        <f t="shared" si="28"/>
        <v>0.33467804292591652</v>
      </c>
      <c r="CM135" s="219">
        <f t="shared" si="38"/>
        <v>0.10999999999999999</v>
      </c>
      <c r="CN135" s="204">
        <f t="shared" si="29"/>
        <v>6.3474404290233419E-2</v>
      </c>
      <c r="CO135" s="42">
        <f t="shared" si="30"/>
        <v>-6.3474404290233419E-2</v>
      </c>
      <c r="CP135" s="204">
        <f t="shared" si="33"/>
        <v>5.8109638490813635</v>
      </c>
      <c r="CQ135" s="204">
        <f t="shared" si="34"/>
        <v>0.45963727972582508</v>
      </c>
      <c r="CR135" s="214">
        <f t="shared" si="34"/>
        <v>0.33268847114535821</v>
      </c>
    </row>
    <row r="136" spans="1:97" x14ac:dyDescent="0.25">
      <c r="A136" s="186">
        <v>0.98633999999999999</v>
      </c>
      <c r="B136" s="152">
        <v>2.4199999999999998E-3</v>
      </c>
      <c r="C136" s="152">
        <v>31</v>
      </c>
      <c r="D136" s="151">
        <f t="shared" si="0"/>
        <v>10.545532206036741</v>
      </c>
      <c r="E136" s="150">
        <f t="shared" si="0"/>
        <v>2.5873621609798763E-2</v>
      </c>
      <c r="M136" s="149">
        <f t="shared" si="24"/>
        <v>10.545532206036741</v>
      </c>
      <c r="N136" s="148">
        <f t="shared" si="39"/>
        <v>9.5656634938379621E-3</v>
      </c>
      <c r="O136" s="148">
        <v>31</v>
      </c>
      <c r="P136" s="149">
        <f t="shared" si="2"/>
        <v>1.6307958115960801E-2</v>
      </c>
      <c r="Q136" s="148">
        <f t="shared" si="3"/>
        <v>10.545532206036741</v>
      </c>
      <c r="R136" s="202">
        <f t="shared" si="4"/>
        <v>0.98633999999999999</v>
      </c>
      <c r="S136" s="203">
        <f t="shared" si="12"/>
        <v>1.7719642551818363E-2</v>
      </c>
      <c r="T136" s="208"/>
      <c r="AG136" s="136">
        <f t="shared" si="5"/>
        <v>31</v>
      </c>
      <c r="AH136" s="136">
        <f t="shared" si="6"/>
        <v>10.545532206036741</v>
      </c>
      <c r="AI136" s="136">
        <f t="shared" si="7"/>
        <v>9.5656634938379621E-3</v>
      </c>
      <c r="AJ136" s="136">
        <f t="shared" si="8"/>
        <v>2.5873621609798763E-2</v>
      </c>
      <c r="AK136" s="70">
        <f t="shared" si="13"/>
        <v>-4.1560028681110313E-2</v>
      </c>
      <c r="AL136" s="70">
        <f t="shared" si="14"/>
        <v>-2.3812142398702743</v>
      </c>
      <c r="AM136" s="111">
        <f t="shared" si="15"/>
        <v>-0.19916463454640934</v>
      </c>
      <c r="AN136" s="111">
        <f t="shared" si="16"/>
        <v>-11.411292987774686</v>
      </c>
      <c r="AO136" s="142">
        <f t="shared" si="17"/>
        <v>1.7699609613413059</v>
      </c>
      <c r="AP136" s="142">
        <f t="shared" si="18"/>
        <v>101.41129298777469</v>
      </c>
      <c r="AR136" s="111">
        <f t="shared" si="19"/>
        <v>0.1777872029353593</v>
      </c>
      <c r="AS136" s="70">
        <f t="shared" si="20"/>
        <v>0.17442335406109377</v>
      </c>
      <c r="AW136">
        <f t="shared" si="21"/>
        <v>4.5999988158139903E-3</v>
      </c>
      <c r="AX136">
        <f t="shared" si="22"/>
        <v>1.6684751104149782E-3</v>
      </c>
      <c r="AZ136">
        <f t="shared" si="23"/>
        <v>4.9181251556154376E-4</v>
      </c>
      <c r="BA136">
        <f t="shared" si="23"/>
        <v>1.7838633748861303E-4</v>
      </c>
      <c r="BD136" s="7"/>
      <c r="BE136" s="7"/>
      <c r="BF136" s="7"/>
      <c r="BG136" s="7"/>
      <c r="BH136" s="7"/>
      <c r="CC136" s="89"/>
      <c r="CD136" s="219">
        <f t="shared" si="9"/>
        <v>1.7749626627941687E-3</v>
      </c>
      <c r="CE136" s="223">
        <f t="shared" si="10"/>
        <v>31</v>
      </c>
      <c r="CF136" s="76"/>
      <c r="CG136" s="219">
        <f t="shared" si="37"/>
        <v>0.11999999999999998</v>
      </c>
      <c r="CH136" s="204">
        <f t="shared" si="25"/>
        <v>4.1581245772583639E-2</v>
      </c>
      <c r="CI136" s="42">
        <f t="shared" si="26"/>
        <v>-4.1581245772583639E-2</v>
      </c>
      <c r="CJ136" s="204">
        <f t="shared" si="27"/>
        <v>2.8459250271216092</v>
      </c>
      <c r="CK136" s="204">
        <f t="shared" si="28"/>
        <v>0.4397336929887336</v>
      </c>
      <c r="CL136" s="214">
        <f t="shared" si="28"/>
        <v>0.3565712014435663</v>
      </c>
      <c r="CM136" s="219">
        <f>CM135+$CN$108</f>
        <v>0.11999999999999998</v>
      </c>
      <c r="CN136" s="204">
        <f t="shared" si="29"/>
        <v>4.1581245772583639E-2</v>
      </c>
      <c r="CO136" s="42">
        <f t="shared" si="30"/>
        <v>-4.1581245772583639E-2</v>
      </c>
      <c r="CP136" s="204">
        <f t="shared" si="33"/>
        <v>5.8209638490813633</v>
      </c>
      <c r="CQ136" s="204">
        <f t="shared" si="34"/>
        <v>0.4377441212081753</v>
      </c>
      <c r="CR136" s="214">
        <f t="shared" si="34"/>
        <v>0.35458162966300799</v>
      </c>
    </row>
    <row r="137" spans="1:97" ht="15.75" thickBot="1" x14ac:dyDescent="0.3">
      <c r="A137" s="186">
        <v>0.99651999999999996</v>
      </c>
      <c r="B137" s="152">
        <v>5.6999999999999998E-4</v>
      </c>
      <c r="C137" s="152">
        <v>32</v>
      </c>
      <c r="D137" s="151">
        <f t="shared" si="0"/>
        <v>10.654372482064737</v>
      </c>
      <c r="E137" s="150">
        <f t="shared" si="0"/>
        <v>6.0942001312335936E-3</v>
      </c>
      <c r="M137" s="149">
        <f t="shared" si="24"/>
        <v>10.654372482064737</v>
      </c>
      <c r="N137" s="148">
        <f t="shared" si="39"/>
        <v>2.837936636353676E-3</v>
      </c>
      <c r="O137" s="148">
        <v>32</v>
      </c>
      <c r="P137" s="149">
        <f t="shared" si="2"/>
        <v>3.2562634948799176E-3</v>
      </c>
      <c r="Q137" s="148">
        <f t="shared" si="3"/>
        <v>10.654372482064737</v>
      </c>
      <c r="R137" s="202">
        <f t="shared" si="4"/>
        <v>0.99651999999999996</v>
      </c>
      <c r="S137" s="203">
        <f t="shared" si="12"/>
        <v>4.466068383793635E-3</v>
      </c>
      <c r="T137" s="208"/>
      <c r="AG137" s="136">
        <f t="shared" si="5"/>
        <v>32</v>
      </c>
      <c r="AH137" s="136">
        <f t="shared" si="6"/>
        <v>10.654372482064737</v>
      </c>
      <c r="AI137" s="136">
        <f t="shared" si="7"/>
        <v>2.837936636353676E-3</v>
      </c>
      <c r="AJ137" s="136">
        <f t="shared" si="8"/>
        <v>6.0942001312335936E-3</v>
      </c>
      <c r="AK137" s="70">
        <f t="shared" si="13"/>
        <v>-6.1734297245922692E-2</v>
      </c>
      <c r="AL137" s="70">
        <f t="shared" si="14"/>
        <v>-3.5371146833974723</v>
      </c>
      <c r="AM137" s="111">
        <f t="shared" si="15"/>
        <v>-0.17976705442616622</v>
      </c>
      <c r="AN137" s="111">
        <f t="shared" si="16"/>
        <v>-10.299893514117889</v>
      </c>
      <c r="AO137" s="142">
        <f t="shared" si="17"/>
        <v>1.7505633812210628</v>
      </c>
      <c r="AP137" s="142">
        <f t="shared" si="18"/>
        <v>100.29989351411788</v>
      </c>
      <c r="AR137" s="111">
        <f t="shared" si="19"/>
        <v>0.11062292348278024</v>
      </c>
      <c r="AS137" s="70">
        <f t="shared" si="20"/>
        <v>0.10904800775126175</v>
      </c>
      <c r="AW137">
        <f t="shared" si="21"/>
        <v>6.7415823480620313E-4</v>
      </c>
      <c r="AX137">
        <f t="shared" si="22"/>
        <v>3.0947133631868538E-4</v>
      </c>
      <c r="AZ137">
        <f t="shared" si="23"/>
        <v>7.2078161456634571E-5</v>
      </c>
      <c r="BA137">
        <f t="shared" si="23"/>
        <v>3.3087372954497679E-5</v>
      </c>
      <c r="BD137" s="7"/>
      <c r="BE137" s="7"/>
      <c r="BF137" s="7"/>
      <c r="BG137" s="7"/>
      <c r="BH137" s="7"/>
      <c r="CC137" s="89"/>
      <c r="CD137" s="219">
        <f t="shared" si="9"/>
        <v>1.2115480444569158E-4</v>
      </c>
      <c r="CE137" s="223">
        <f t="shared" si="10"/>
        <v>32</v>
      </c>
      <c r="CF137" s="76"/>
      <c r="CG137" s="226">
        <f>AB113/2</f>
        <v>0.127</v>
      </c>
      <c r="CH137" s="227">
        <f t="shared" si="25"/>
        <v>0</v>
      </c>
      <c r="CI137" s="231">
        <f t="shared" si="26"/>
        <v>0</v>
      </c>
      <c r="CJ137" s="227">
        <f t="shared" si="27"/>
        <v>2.8529250271216089</v>
      </c>
      <c r="CK137" s="227">
        <f t="shared" si="28"/>
        <v>0.39815244721614995</v>
      </c>
      <c r="CL137" s="217">
        <f t="shared" si="28"/>
        <v>0.39815244721614995</v>
      </c>
      <c r="CM137" s="226">
        <f>AB113/2</f>
        <v>0.127</v>
      </c>
      <c r="CN137" s="227">
        <f t="shared" si="29"/>
        <v>0</v>
      </c>
      <c r="CO137" s="231">
        <f t="shared" si="30"/>
        <v>0</v>
      </c>
      <c r="CP137" s="227">
        <f t="shared" si="33"/>
        <v>5.827963849081363</v>
      </c>
      <c r="CQ137" s="227">
        <f t="shared" si="34"/>
        <v>0.39616287543559164</v>
      </c>
      <c r="CR137" s="217">
        <f t="shared" si="34"/>
        <v>0.39616287543559164</v>
      </c>
    </row>
    <row r="138" spans="1:97" ht="15.75" thickBot="1" x14ac:dyDescent="0.3">
      <c r="A138" s="188">
        <v>1</v>
      </c>
      <c r="B138" s="147">
        <v>0</v>
      </c>
      <c r="C138" s="147">
        <v>33</v>
      </c>
      <c r="D138" s="146">
        <f t="shared" si="0"/>
        <v>10.691579177602796</v>
      </c>
      <c r="E138" s="145">
        <f t="shared" si="0"/>
        <v>0</v>
      </c>
      <c r="M138" s="144">
        <f t="shared" si="24"/>
        <v>10.691579177602796</v>
      </c>
      <c r="N138" s="143">
        <f>((L135-K134)/(K135-J134))*(M138-J134)+K134</f>
        <v>0</v>
      </c>
      <c r="O138" s="143">
        <v>33</v>
      </c>
      <c r="P138" s="144">
        <f t="shared" si="2"/>
        <v>0</v>
      </c>
      <c r="Q138" s="143">
        <f t="shared" si="3"/>
        <v>10.691579177602796</v>
      </c>
      <c r="R138" s="210">
        <f t="shared" si="4"/>
        <v>1</v>
      </c>
      <c r="S138" s="216">
        <f t="shared" si="12"/>
        <v>0</v>
      </c>
      <c r="T138" s="211"/>
      <c r="AG138" s="136">
        <f t="shared" si="5"/>
        <v>33</v>
      </c>
      <c r="AH138" s="136">
        <f t="shared" si="6"/>
        <v>10.691579177602796</v>
      </c>
      <c r="AI138" s="136">
        <f t="shared" si="7"/>
        <v>0</v>
      </c>
      <c r="AJ138" s="136">
        <f t="shared" si="8"/>
        <v>0</v>
      </c>
      <c r="AK138" s="70">
        <f t="shared" si="13"/>
        <v>-7.6127486078197235E-2</v>
      </c>
      <c r="AL138" s="70">
        <f t="shared" si="14"/>
        <v>-4.3617836572216326</v>
      </c>
      <c r="AM138" s="111">
        <f t="shared" si="15"/>
        <v>-0.1623514819128114</v>
      </c>
      <c r="AN138" s="111">
        <f t="shared" si="16"/>
        <v>-9.3020547112986147</v>
      </c>
      <c r="AO138" s="142">
        <f t="shared" si="17"/>
        <v>1.7331478087077079</v>
      </c>
      <c r="AP138" s="142">
        <f t="shared" si="18"/>
        <v>99.302054711298609</v>
      </c>
      <c r="AR138" s="111">
        <f t="shared" si="19"/>
        <v>3.7702486232360249E-2</v>
      </c>
      <c r="AS138" s="70">
        <f t="shared" si="20"/>
        <v>3.731477022860713E-2</v>
      </c>
      <c r="AU138">
        <f>SUM(AR118:AS138)</f>
        <v>16.898505214118551</v>
      </c>
      <c r="AW138">
        <f>AR138*E137</f>
        <v>2.2976649654508259E-4</v>
      </c>
      <c r="AX138">
        <f>AS138*ABS(N137)</f>
        <v>1.0589695350888362E-4</v>
      </c>
      <c r="AZ138">
        <f t="shared" si="23"/>
        <v>2.4565666901721495E-5</v>
      </c>
      <c r="BA138">
        <f t="shared" si="23"/>
        <v>1.1322056631071512E-5</v>
      </c>
      <c r="BD138" s="7"/>
      <c r="BE138" s="7"/>
      <c r="BF138" s="7"/>
      <c r="BG138" s="7"/>
      <c r="BH138" s="7"/>
      <c r="CC138" s="89"/>
      <c r="CD138" s="219">
        <f t="shared" si="9"/>
        <v>0</v>
      </c>
      <c r="CE138" s="223">
        <f t="shared" si="10"/>
        <v>33</v>
      </c>
      <c r="CF138" s="214">
        <f>SUM(CD118:CD138)</f>
        <v>7.2027168635550982</v>
      </c>
      <c r="CG138" s="89"/>
      <c r="CH138" s="89"/>
      <c r="CI138" s="89"/>
      <c r="CL138" s="89"/>
      <c r="CM138" s="89"/>
      <c r="CN138" s="204"/>
      <c r="CO138" s="42"/>
      <c r="CP138" s="204"/>
      <c r="CQ138" s="204"/>
      <c r="CR138" s="204"/>
      <c r="CS138" s="42"/>
    </row>
    <row r="139" spans="1:97" s="89" customFormat="1" x14ac:dyDescent="0.25">
      <c r="A139" s="140"/>
      <c r="B139" s="19"/>
      <c r="C139" s="19"/>
      <c r="D139" s="139"/>
      <c r="E139" s="139"/>
      <c r="M139" s="139"/>
      <c r="N139" s="139"/>
      <c r="O139" s="139"/>
      <c r="P139" s="139"/>
      <c r="Q139" s="139"/>
      <c r="R139" s="138"/>
      <c r="S139" s="137"/>
      <c r="T139" s="137"/>
      <c r="CD139" s="77" t="s">
        <v>1925</v>
      </c>
      <c r="CE139" s="42"/>
      <c r="CF139" s="76"/>
      <c r="CJ139"/>
      <c r="CK139"/>
      <c r="CN139" s="204"/>
      <c r="CO139" s="42"/>
      <c r="CP139" s="204"/>
      <c r="CQ139" s="204"/>
      <c r="CR139" s="204"/>
      <c r="CS139" s="19"/>
    </row>
    <row r="140" spans="1:97" s="89" customFormat="1" ht="15.75" thickBot="1" x14ac:dyDescent="0.3">
      <c r="A140" s="238" t="s">
        <v>2241</v>
      </c>
      <c r="B140" s="19"/>
      <c r="C140" s="19"/>
      <c r="D140" s="139"/>
      <c r="E140" s="139"/>
      <c r="M140" s="139"/>
      <c r="N140" s="139"/>
      <c r="O140" s="139"/>
      <c r="P140" s="139">
        <f>MAX(P106:P138)</f>
        <v>1.4963973444128436</v>
      </c>
      <c r="Q140" s="139"/>
      <c r="R140" s="138"/>
      <c r="S140" s="137"/>
      <c r="T140" s="137"/>
      <c r="AZ140" s="141" t="s">
        <v>1935</v>
      </c>
      <c r="BA140" s="141">
        <f>SUM(AZ107:BA138)</f>
        <v>1.0905494913700002</v>
      </c>
      <c r="BB140" s="141" t="s">
        <v>1936</v>
      </c>
      <c r="CD140" s="226">
        <f>SUM(CD106:CD138)</f>
        <v>10.304621817991835</v>
      </c>
      <c r="CE140" s="227">
        <f>CD140-CD117</f>
        <v>9.6748104919680884</v>
      </c>
      <c r="CF140" s="74">
        <f>SUM(CF106:CF138)</f>
        <v>9.6748104919680902</v>
      </c>
      <c r="CJ140"/>
      <c r="CK140"/>
    </row>
    <row r="141" spans="1:97" s="89" customFormat="1" x14ac:dyDescent="0.25">
      <c r="A141" s="140" t="s">
        <v>2237</v>
      </c>
      <c r="B141" s="343" t="s">
        <v>705</v>
      </c>
      <c r="C141" s="343" t="s">
        <v>706</v>
      </c>
      <c r="D141" s="344" t="s">
        <v>707</v>
      </c>
      <c r="E141" s="344" t="s">
        <v>708</v>
      </c>
      <c r="F141" s="342" t="s">
        <v>709</v>
      </c>
      <c r="G141" s="342" t="s">
        <v>2235</v>
      </c>
      <c r="H141" s="342" t="s">
        <v>2236</v>
      </c>
      <c r="I141" s="342" t="s">
        <v>2238</v>
      </c>
      <c r="J141" s="342" t="s">
        <v>663</v>
      </c>
      <c r="M141" s="139"/>
      <c r="N141" s="139"/>
      <c r="O141" s="139"/>
      <c r="P141" s="139"/>
      <c r="Q141" s="139"/>
      <c r="R141" s="138"/>
      <c r="S141" s="137"/>
      <c r="T141" s="137"/>
      <c r="AZ141" s="141" t="s">
        <v>1935</v>
      </c>
      <c r="BA141" s="141">
        <f>BA140*((1/12)^3)</f>
        <v>6.3110502972800941E-4</v>
      </c>
      <c r="BB141" s="141" t="s">
        <v>1934</v>
      </c>
    </row>
    <row r="142" spans="1:97" s="89" customFormat="1" x14ac:dyDescent="0.25">
      <c r="A142" s="140" t="s">
        <v>2262</v>
      </c>
      <c r="B142" s="19">
        <f>B151</f>
        <v>6</v>
      </c>
      <c r="C142" s="19">
        <v>0.3</v>
      </c>
      <c r="D142" s="19">
        <f>B151</f>
        <v>6</v>
      </c>
      <c r="E142" s="139">
        <v>0.51200000000000001</v>
      </c>
      <c r="F142" s="19">
        <v>0.25</v>
      </c>
      <c r="G142" s="19">
        <v>0.25</v>
      </c>
      <c r="H142" s="139">
        <v>0.51200000000000001</v>
      </c>
      <c r="I142" s="19">
        <v>0.504</v>
      </c>
      <c r="J142" s="19">
        <v>0.504</v>
      </c>
      <c r="M142" s="139"/>
      <c r="N142" s="139"/>
      <c r="O142" s="139"/>
      <c r="P142" s="139"/>
      <c r="Q142" s="139"/>
      <c r="R142" s="138"/>
      <c r="S142" s="137"/>
      <c r="T142" s="137"/>
    </row>
    <row r="143" spans="1:97" s="89" customFormat="1" x14ac:dyDescent="0.25">
      <c r="A143" s="140" t="s">
        <v>2263</v>
      </c>
      <c r="B143" s="19">
        <v>0.25</v>
      </c>
      <c r="C143" s="19">
        <f>C152-B143*2</f>
        <v>4.2244094488188972</v>
      </c>
      <c r="D143" s="19">
        <v>0.25</v>
      </c>
      <c r="E143" s="139">
        <v>0.51200000000000001</v>
      </c>
      <c r="F143" s="19">
        <v>0.25</v>
      </c>
      <c r="G143" s="19">
        <v>0.25</v>
      </c>
      <c r="H143" s="139">
        <v>0.51200000000000001</v>
      </c>
      <c r="I143" s="139">
        <f>H143</f>
        <v>0.51200000000000001</v>
      </c>
      <c r="J143" s="139">
        <f>H143</f>
        <v>0.51200000000000001</v>
      </c>
      <c r="M143" s="139"/>
      <c r="N143" s="139"/>
      <c r="O143" s="139"/>
      <c r="P143" s="139"/>
      <c r="Q143" s="139"/>
      <c r="R143" s="138"/>
      <c r="S143" s="137"/>
      <c r="T143" s="137"/>
    </row>
    <row r="144" spans="1:97" s="89" customFormat="1" x14ac:dyDescent="0.25">
      <c r="A144" s="140" t="s">
        <v>2248</v>
      </c>
      <c r="B144" s="19" t="s">
        <v>2242</v>
      </c>
      <c r="C144" s="19" t="s">
        <v>2242</v>
      </c>
      <c r="D144" s="19" t="s">
        <v>2242</v>
      </c>
      <c r="E144" s="139">
        <v>45</v>
      </c>
      <c r="F144" s="89">
        <v>45</v>
      </c>
      <c r="G144" s="89">
        <v>45</v>
      </c>
      <c r="H144" s="89">
        <v>45</v>
      </c>
      <c r="I144" s="89" t="s">
        <v>2242</v>
      </c>
      <c r="J144" s="89" t="s">
        <v>2242</v>
      </c>
      <c r="M144" s="139"/>
      <c r="N144" s="139"/>
      <c r="O144" s="139"/>
      <c r="P144" s="139"/>
      <c r="Q144" s="139"/>
      <c r="R144" s="138"/>
      <c r="S144" s="137"/>
      <c r="T144" s="137"/>
    </row>
    <row r="145" spans="1:20" s="89" customFormat="1" x14ac:dyDescent="0.25">
      <c r="A145" s="140"/>
      <c r="B145" s="19"/>
      <c r="C145" s="19"/>
      <c r="D145" s="139"/>
      <c r="E145" s="139"/>
      <c r="M145" s="139"/>
      <c r="N145" s="139"/>
      <c r="O145" s="139"/>
      <c r="P145" s="139"/>
      <c r="Q145" s="139"/>
      <c r="R145" s="138"/>
      <c r="S145" s="137"/>
      <c r="T145" s="137"/>
    </row>
    <row r="146" spans="1:20" s="89" customFormat="1" x14ac:dyDescent="0.25">
      <c r="A146" s="140" t="s">
        <v>2243</v>
      </c>
      <c r="B146" s="19" t="s">
        <v>1899</v>
      </c>
      <c r="C146" s="19" t="s">
        <v>2240</v>
      </c>
      <c r="D146" s="139"/>
      <c r="E146" s="139"/>
      <c r="M146" s="139"/>
      <c r="N146" s="139"/>
      <c r="O146" s="139"/>
      <c r="P146" s="139"/>
      <c r="Q146" s="139"/>
      <c r="R146" s="138"/>
      <c r="S146" s="137"/>
      <c r="T146" s="137"/>
    </row>
    <row r="147" spans="1:20" s="89" customFormat="1" x14ac:dyDescent="0.25">
      <c r="A147" s="140" t="s">
        <v>2245</v>
      </c>
      <c r="B147" s="19">
        <f>AB113</f>
        <v>0.254</v>
      </c>
      <c r="C147" s="19">
        <f>AB113</f>
        <v>0.254</v>
      </c>
      <c r="D147" s="139"/>
      <c r="E147" s="139"/>
      <c r="M147" s="139"/>
      <c r="N147" s="139"/>
      <c r="O147" s="139"/>
      <c r="P147" s="139"/>
      <c r="Q147" s="139"/>
      <c r="R147" s="138"/>
      <c r="S147" s="137"/>
      <c r="T147" s="137"/>
    </row>
    <row r="148" spans="1:20" s="89" customFormat="1" x14ac:dyDescent="0.25">
      <c r="A148" s="140" t="s">
        <v>2244</v>
      </c>
      <c r="B148" s="19">
        <f>AB114</f>
        <v>0.158</v>
      </c>
      <c r="C148" s="19">
        <f>AB114</f>
        <v>0.158</v>
      </c>
      <c r="D148" s="139"/>
      <c r="E148" s="139"/>
      <c r="M148" s="139"/>
      <c r="N148" s="139"/>
      <c r="O148" s="139"/>
      <c r="P148" s="139"/>
      <c r="Q148" s="139"/>
      <c r="R148" s="138"/>
      <c r="S148" s="137"/>
      <c r="T148" s="137"/>
    </row>
    <row r="149" spans="1:20" s="89" customFormat="1" x14ac:dyDescent="0.25">
      <c r="A149" s="140"/>
      <c r="B149" s="19"/>
      <c r="C149" s="19"/>
      <c r="D149" s="139"/>
      <c r="E149" s="139"/>
      <c r="M149" s="139"/>
      <c r="N149" s="139"/>
      <c r="O149" s="139"/>
      <c r="P149" s="139"/>
      <c r="Q149" s="139"/>
      <c r="R149" s="138"/>
      <c r="S149" s="137"/>
      <c r="T149" s="137"/>
    </row>
    <row r="150" spans="1:20" s="89" customFormat="1" x14ac:dyDescent="0.25">
      <c r="B150" s="140" t="s">
        <v>2246</v>
      </c>
      <c r="C150" s="140" t="s">
        <v>2247</v>
      </c>
      <c r="D150" s="139"/>
      <c r="E150" s="139"/>
      <c r="M150" s="139"/>
      <c r="N150" s="139"/>
      <c r="O150" s="139"/>
      <c r="P150" s="139"/>
      <c r="Q150" s="139"/>
      <c r="R150" s="138"/>
      <c r="S150" s="137"/>
      <c r="T150" s="137"/>
    </row>
    <row r="151" spans="1:20" s="89" customFormat="1" x14ac:dyDescent="0.25">
      <c r="A151" s="140" t="s">
        <v>2260</v>
      </c>
      <c r="B151" s="19">
        <f>H4*100/T2</f>
        <v>6</v>
      </c>
      <c r="C151" s="19"/>
      <c r="D151" s="139"/>
      <c r="E151" s="139"/>
      <c r="M151" s="139"/>
      <c r="N151" s="139"/>
      <c r="O151" s="139"/>
      <c r="P151" s="139"/>
      <c r="Q151" s="139"/>
      <c r="R151" s="138"/>
      <c r="S151" s="137"/>
      <c r="T151" s="137"/>
    </row>
    <row r="152" spans="1:20" s="89" customFormat="1" x14ac:dyDescent="0.25">
      <c r="A152" s="140" t="s">
        <v>2261</v>
      </c>
      <c r="B152" s="19"/>
      <c r="C152" s="19">
        <f>H5*100/T2</f>
        <v>4.7244094488188972</v>
      </c>
      <c r="D152" s="139"/>
      <c r="E152" s="139"/>
      <c r="M152" s="139"/>
      <c r="N152" s="139"/>
      <c r="O152" s="139"/>
      <c r="P152" s="139"/>
      <c r="Q152" s="139"/>
      <c r="R152" s="138"/>
      <c r="S152" s="137"/>
      <c r="T152" s="137"/>
    </row>
    <row r="153" spans="1:20" s="89" customFormat="1" x14ac:dyDescent="0.25">
      <c r="A153" s="140"/>
      <c r="B153" s="19"/>
      <c r="C153" s="19"/>
      <c r="D153" s="139"/>
      <c r="E153" s="139"/>
      <c r="M153" s="139"/>
      <c r="N153" s="139"/>
      <c r="O153" s="139"/>
      <c r="P153" s="139"/>
      <c r="Q153" s="139"/>
      <c r="R153" s="138"/>
      <c r="S153" s="137"/>
      <c r="T153" s="137"/>
    </row>
    <row r="154" spans="1:20" s="89" customFormat="1" x14ac:dyDescent="0.25">
      <c r="A154" s="140"/>
      <c r="B154" s="19"/>
      <c r="C154" s="19"/>
      <c r="D154" s="139"/>
      <c r="E154" s="139"/>
      <c r="M154" s="139"/>
      <c r="N154" s="139"/>
      <c r="O154" s="139"/>
      <c r="P154" s="139"/>
      <c r="Q154" s="139"/>
      <c r="R154" s="138"/>
      <c r="S154" s="137"/>
      <c r="T154" s="137"/>
    </row>
    <row r="155" spans="1:20" s="89" customFormat="1" x14ac:dyDescent="0.25"/>
    <row r="156" spans="1:20" s="89" customFormat="1" x14ac:dyDescent="0.25"/>
    <row r="157" spans="1:20" s="89" customFormat="1" x14ac:dyDescent="0.25"/>
    <row r="158" spans="1:20" s="89" customFormat="1" x14ac:dyDescent="0.25"/>
    <row r="159" spans="1:20" s="89" customFormat="1" x14ac:dyDescent="0.25"/>
    <row r="160" spans="1:20" s="89" customFormat="1" x14ac:dyDescent="0.25"/>
    <row r="161" spans="1:3" s="89" customFormat="1" x14ac:dyDescent="0.25"/>
    <row r="162" spans="1:3" s="89" customFormat="1" x14ac:dyDescent="0.25"/>
    <row r="163" spans="1:3" s="89" customFormat="1" x14ac:dyDescent="0.25"/>
    <row r="164" spans="1:3" s="195" customFormat="1" ht="15.75" thickBot="1" x14ac:dyDescent="0.3"/>
    <row r="165" spans="1:3" s="89" customFormat="1" x14ac:dyDescent="0.25">
      <c r="A165" s="194" t="s">
        <v>2012</v>
      </c>
    </row>
    <row r="166" spans="1:3" s="89" customFormat="1" x14ac:dyDescent="0.25">
      <c r="A166" s="194"/>
    </row>
    <row r="167" spans="1:3" s="89" customFormat="1" x14ac:dyDescent="0.25">
      <c r="A167" s="89" t="s">
        <v>2013</v>
      </c>
    </row>
    <row r="168" spans="1:3" s="89" customFormat="1" ht="18.75" x14ac:dyDescent="0.3">
      <c r="A168" s="58" t="s">
        <v>1826</v>
      </c>
      <c r="B168"/>
      <c r="C168"/>
    </row>
    <row r="169" spans="1:3" s="89" customFormat="1" x14ac:dyDescent="0.25">
      <c r="A169" s="59" t="s">
        <v>1827</v>
      </c>
      <c r="B169"/>
      <c r="C169"/>
    </row>
    <row r="170" spans="1:3" s="89" customFormat="1" x14ac:dyDescent="0.25">
      <c r="A170" s="322" t="s">
        <v>1828</v>
      </c>
      <c r="B170" s="322"/>
      <c r="C170" s="60">
        <v>2760.7739999999999</v>
      </c>
    </row>
    <row r="171" spans="1:3" s="89" customFormat="1" x14ac:dyDescent="0.25">
      <c r="A171" s="323" t="s">
        <v>1829</v>
      </c>
      <c r="B171" s="323"/>
      <c r="C171" s="61">
        <v>11.2</v>
      </c>
    </row>
    <row r="172" spans="1:3" s="89" customFormat="1" x14ac:dyDescent="0.25">
      <c r="A172" s="324" t="s">
        <v>1830</v>
      </c>
      <c r="B172" s="324"/>
      <c r="C172" s="62">
        <v>50.874114955059305</v>
      </c>
    </row>
    <row r="173" spans="1:3" s="89" customFormat="1" x14ac:dyDescent="0.25">
      <c r="A173" s="325" t="s">
        <v>1831</v>
      </c>
      <c r="B173" s="325"/>
      <c r="C173" s="63">
        <v>40</v>
      </c>
    </row>
    <row r="174" spans="1:3" s="89" customFormat="1" x14ac:dyDescent="0.25">
      <c r="A174"/>
      <c r="B174"/>
      <c r="C174"/>
    </row>
    <row r="175" spans="1:3" s="89" customFormat="1" x14ac:dyDescent="0.25">
      <c r="A175"/>
      <c r="B175"/>
      <c r="C175"/>
    </row>
    <row r="176" spans="1:3" s="89" customFormat="1" x14ac:dyDescent="0.25">
      <c r="A176" s="59" t="s">
        <v>1832</v>
      </c>
      <c r="B176"/>
      <c r="C176"/>
    </row>
    <row r="177" spans="1:17" s="89" customFormat="1" x14ac:dyDescent="0.25">
      <c r="A177" s="322" t="s">
        <v>1833</v>
      </c>
      <c r="B177" s="322"/>
      <c r="C177" s="60">
        <v>-867.02700000000004</v>
      </c>
    </row>
    <row r="178" spans="1:17" s="89" customFormat="1" x14ac:dyDescent="0.25">
      <c r="A178" s="323" t="s">
        <v>1829</v>
      </c>
      <c r="B178" s="323"/>
      <c r="C178" s="61">
        <v>300.33999999999997</v>
      </c>
    </row>
    <row r="179" spans="1:17" s="89" customFormat="1" x14ac:dyDescent="0.25">
      <c r="A179" s="324" t="s">
        <v>1830</v>
      </c>
      <c r="B179" s="324"/>
      <c r="C179" s="62">
        <v>44.998342426664422</v>
      </c>
    </row>
    <row r="180" spans="1:17" s="89" customFormat="1" x14ac:dyDescent="0.25">
      <c r="A180" s="325" t="s">
        <v>1831</v>
      </c>
      <c r="B180" s="325"/>
      <c r="C180" s="63">
        <v>30</v>
      </c>
    </row>
    <row r="181" spans="1:17" s="89" customFormat="1" x14ac:dyDescent="0.25"/>
    <row r="182" spans="1:17" s="89" customFormat="1" x14ac:dyDescent="0.25">
      <c r="A182" s="89" t="s">
        <v>2017</v>
      </c>
    </row>
    <row r="183" spans="1:17" s="89" customFormat="1" x14ac:dyDescent="0.25">
      <c r="A183" s="194" t="s">
        <v>2015</v>
      </c>
    </row>
    <row r="184" spans="1:17" s="89" customFormat="1" x14ac:dyDescent="0.25"/>
    <row r="185" spans="1:17" s="89" customFormat="1" ht="15.75" x14ac:dyDescent="0.25">
      <c r="A185" s="516" t="s">
        <v>739</v>
      </c>
      <c r="B185" s="516"/>
      <c r="C185" s="516"/>
      <c r="D185" s="34"/>
      <c r="E185" s="516" t="s">
        <v>740</v>
      </c>
      <c r="F185" s="516"/>
      <c r="G185" s="516"/>
      <c r="H185" s="34"/>
      <c r="I185" s="516" t="s">
        <v>738</v>
      </c>
      <c r="J185" s="516"/>
      <c r="K185" s="516"/>
      <c r="L185" s="34"/>
      <c r="M185" s="516" t="s">
        <v>741</v>
      </c>
      <c r="N185" s="516"/>
      <c r="O185" s="516"/>
      <c r="P185"/>
      <c r="Q185"/>
    </row>
    <row r="186" spans="1:17" s="89" customFormat="1" x14ac:dyDescent="0.25">
      <c r="A186" s="33"/>
      <c r="B186" s="35" t="s">
        <v>742</v>
      </c>
      <c r="C186" s="35"/>
      <c r="D186" s="35" t="s">
        <v>743</v>
      </c>
      <c r="E186" s="34"/>
      <c r="F186" s="35" t="s">
        <v>742</v>
      </c>
      <c r="G186" s="35"/>
      <c r="H186" s="35" t="s">
        <v>743</v>
      </c>
      <c r="I186" s="34"/>
      <c r="J186" s="35" t="s">
        <v>742</v>
      </c>
      <c r="K186" s="35"/>
      <c r="L186" s="35" t="s">
        <v>743</v>
      </c>
      <c r="M186" s="34"/>
      <c r="N186" s="35" t="s">
        <v>742</v>
      </c>
      <c r="O186" s="35"/>
      <c r="P186" s="35" t="s">
        <v>743</v>
      </c>
      <c r="Q186"/>
    </row>
    <row r="187" spans="1:17" s="89" customFormat="1" x14ac:dyDescent="0.25">
      <c r="A187" s="36" t="s">
        <v>744</v>
      </c>
      <c r="B187" s="37">
        <v>0.67</v>
      </c>
      <c r="C187" s="38"/>
      <c r="D187" s="37">
        <v>0.67</v>
      </c>
      <c r="E187" s="34"/>
      <c r="F187" s="37">
        <v>0.63</v>
      </c>
      <c r="G187" s="38"/>
      <c r="H187" s="37">
        <v>0.63</v>
      </c>
      <c r="I187" s="34"/>
      <c r="J187" s="37">
        <v>0.63</v>
      </c>
      <c r="K187" s="38"/>
      <c r="L187" s="37">
        <v>0.63</v>
      </c>
      <c r="M187" s="34"/>
      <c r="N187" s="37">
        <v>0.6</v>
      </c>
      <c r="O187" s="38"/>
      <c r="P187" s="37">
        <v>0.6</v>
      </c>
      <c r="Q187"/>
    </row>
    <row r="188" spans="1:17" s="89" customFormat="1" x14ac:dyDescent="0.25">
      <c r="A188" s="36" t="s">
        <v>745</v>
      </c>
      <c r="B188" s="38" t="s">
        <v>746</v>
      </c>
      <c r="C188" s="38"/>
      <c r="D188" s="38" t="s">
        <v>747</v>
      </c>
      <c r="E188" s="34"/>
      <c r="F188" s="38" t="s">
        <v>748</v>
      </c>
      <c r="G188" s="38"/>
      <c r="H188" s="38" t="s">
        <v>749</v>
      </c>
      <c r="I188" s="34"/>
      <c r="J188" s="38" t="s">
        <v>750</v>
      </c>
      <c r="K188" s="38"/>
      <c r="L188" s="38" t="s">
        <v>751</v>
      </c>
      <c r="M188" s="34"/>
      <c r="N188" s="38" t="s">
        <v>752</v>
      </c>
      <c r="O188" s="38"/>
      <c r="P188" s="38" t="s">
        <v>753</v>
      </c>
      <c r="Q188"/>
    </row>
    <row r="189" spans="1:17" s="89" customFormat="1" x14ac:dyDescent="0.25">
      <c r="A189" s="36" t="s">
        <v>754</v>
      </c>
      <c r="B189" s="38" t="s">
        <v>755</v>
      </c>
      <c r="C189" s="38"/>
      <c r="D189" s="38" t="s">
        <v>756</v>
      </c>
      <c r="E189" s="34"/>
      <c r="F189" s="38" t="s">
        <v>757</v>
      </c>
      <c r="G189" s="38"/>
      <c r="H189" s="38" t="s">
        <v>758</v>
      </c>
      <c r="I189" s="34"/>
      <c r="J189" s="38" t="s">
        <v>759</v>
      </c>
      <c r="K189" s="38"/>
      <c r="L189" s="38" t="s">
        <v>760</v>
      </c>
      <c r="M189" s="34"/>
      <c r="N189" s="38" t="s">
        <v>755</v>
      </c>
      <c r="O189" s="38"/>
      <c r="P189" s="38" t="s">
        <v>756</v>
      </c>
      <c r="Q189"/>
    </row>
    <row r="190" spans="1:17" s="89" customFormat="1" x14ac:dyDescent="0.25">
      <c r="A190" s="36" t="s">
        <v>761</v>
      </c>
      <c r="B190" s="38" t="s">
        <v>762</v>
      </c>
      <c r="C190" s="38"/>
      <c r="D190" s="38" t="s">
        <v>763</v>
      </c>
      <c r="E190" s="34"/>
      <c r="F190" s="38" t="s">
        <v>764</v>
      </c>
      <c r="G190" s="38"/>
      <c r="H190" s="38" t="s">
        <v>765</v>
      </c>
      <c r="I190" s="34"/>
      <c r="J190" s="38" t="s">
        <v>766</v>
      </c>
      <c r="K190" s="38"/>
      <c r="L190" s="38" t="s">
        <v>767</v>
      </c>
      <c r="M190" s="34"/>
      <c r="N190" s="38" t="s">
        <v>768</v>
      </c>
      <c r="O190" s="38"/>
      <c r="P190" s="38" t="s">
        <v>768</v>
      </c>
      <c r="Q190"/>
    </row>
    <row r="191" spans="1:17" s="89" customFormat="1" x14ac:dyDescent="0.25">
      <c r="A191"/>
      <c r="B191"/>
      <c r="C191"/>
      <c r="D191"/>
      <c r="E191"/>
      <c r="F191"/>
      <c r="G191"/>
      <c r="H191"/>
      <c r="I191"/>
      <c r="J191"/>
      <c r="K191"/>
      <c r="L191"/>
      <c r="M191" s="3"/>
      <c r="N191"/>
      <c r="O191"/>
      <c r="P191"/>
      <c r="Q191"/>
    </row>
    <row r="192" spans="1:17" s="89" customFormat="1" x14ac:dyDescent="0.25">
      <c r="A192"/>
      <c r="B192" s="7" t="str">
        <f>LEFT(B188,3)</f>
        <v>320</v>
      </c>
      <c r="C192" s="7" t="str">
        <f>RIGHT(B188,3)</f>
        <v>ksi</v>
      </c>
      <c r="D192" s="7" t="str">
        <f>LEFT(D188,4)</f>
        <v>2.21</v>
      </c>
      <c r="E192" s="7" t="str">
        <f>RIGHT(D188,3)</f>
        <v>Gpa</v>
      </c>
      <c r="F192" s="7" t="str">
        <f>LEFT(F188,3)</f>
        <v>348</v>
      </c>
      <c r="G192" s="7" t="str">
        <f>RIGHT(F188,3)</f>
        <v>ksi</v>
      </c>
      <c r="H192" s="7" t="str">
        <f>LEFT(H188,4)</f>
        <v>2.40</v>
      </c>
      <c r="I192" s="7" t="str">
        <f>RIGHT(H188,3)</f>
        <v>Gpa</v>
      </c>
      <c r="J192" s="7" t="str">
        <f>LEFT(J188,3)</f>
        <v>363</v>
      </c>
      <c r="K192" s="7" t="str">
        <f>RIGHT(J188,3)</f>
        <v>ksi</v>
      </c>
      <c r="L192" s="7" t="str">
        <f>LEFT(L188,3)</f>
        <v>2.5</v>
      </c>
      <c r="M192" s="7" t="str">
        <f>RIGHT(L188,3)</f>
        <v>Gpa</v>
      </c>
      <c r="N192" s="7" t="str">
        <f>LEFT(N188,3)</f>
        <v>250</v>
      </c>
      <c r="O192" s="7" t="str">
        <f>RIGHT(N188,3)</f>
        <v>ksi</v>
      </c>
      <c r="P192" s="7" t="str">
        <f>LEFT(P188,3)</f>
        <v>1.7</v>
      </c>
      <c r="Q192" s="7" t="str">
        <f>RIGHT(P188,3)</f>
        <v>Gpa</v>
      </c>
    </row>
    <row r="193" spans="1:17" s="89" customFormat="1" x14ac:dyDescent="0.25">
      <c r="A193"/>
      <c r="B193" s="7" t="str">
        <f>LEFT(B189,4)</f>
        <v>19.5</v>
      </c>
      <c r="C193" s="7" t="str">
        <f t="shared" ref="C193:E194" si="40">RIGHT(B189,3)</f>
        <v>msi</v>
      </c>
      <c r="D193" s="7" t="str">
        <f>LEFT(D189,3)</f>
        <v>134</v>
      </c>
      <c r="E193" s="7" t="str">
        <f t="shared" si="40"/>
        <v>Gpa</v>
      </c>
      <c r="F193" s="7" t="str">
        <f>LEFT(F189,4)</f>
        <v>34.9</v>
      </c>
      <c r="G193" s="7" t="str">
        <f>RIGHT(F189,3)</f>
        <v>msi</v>
      </c>
      <c r="H193" s="7" t="str">
        <f t="shared" ref="H193:J194" si="41">LEFT(H189,4)</f>
        <v xml:space="preserve">240 </v>
      </c>
      <c r="I193" s="7" t="str">
        <f>RIGHT(H189,3)</f>
        <v>Gpa</v>
      </c>
      <c r="J193" s="7" t="str">
        <f t="shared" si="41"/>
        <v>20.7</v>
      </c>
      <c r="K193" s="7" t="str">
        <f>RIGHT(J189,3)</f>
        <v>msi</v>
      </c>
      <c r="L193" s="7" t="str">
        <f>LEFT(L189,4)</f>
        <v xml:space="preserve">140 </v>
      </c>
      <c r="M193" s="7" t="str">
        <f>RIGHT(L189,3)</f>
        <v>Gpa</v>
      </c>
      <c r="N193" s="7" t="str">
        <f t="shared" ref="N193:P194" si="42">LEFT(N189,4)</f>
        <v>19.5</v>
      </c>
      <c r="O193" s="7" t="str">
        <f>RIGHT(N189,3)</f>
        <v>msi</v>
      </c>
      <c r="P193" s="7" t="str">
        <f t="shared" si="42"/>
        <v xml:space="preserve">134 </v>
      </c>
      <c r="Q193" s="7" t="str">
        <f>RIGHT(P189,3)</f>
        <v>Gpa</v>
      </c>
    </row>
    <row r="194" spans="1:17" s="89" customFormat="1" x14ac:dyDescent="0.25">
      <c r="A194"/>
      <c r="B194" s="7" t="str">
        <f>LEFT(B190,3)</f>
        <v>256</v>
      </c>
      <c r="C194" s="7" t="str">
        <f t="shared" si="40"/>
        <v>ksi</v>
      </c>
      <c r="D194" s="7" t="str">
        <f>LEFT(D190,3)</f>
        <v>1.7</v>
      </c>
      <c r="E194" s="7" t="str">
        <f t="shared" si="40"/>
        <v>Gpa</v>
      </c>
      <c r="F194" s="7" t="str">
        <f>LEFT(F190,3)</f>
        <v>145</v>
      </c>
      <c r="G194" s="7" t="str">
        <f>RIGHT(F190,3)</f>
        <v>ksi</v>
      </c>
      <c r="H194" s="7" t="str">
        <f t="shared" si="41"/>
        <v>1.00</v>
      </c>
      <c r="I194" s="7" t="str">
        <f>RIGHT(H190,3)</f>
        <v>Gpa</v>
      </c>
      <c r="J194" s="7" t="str">
        <f t="shared" si="41"/>
        <v xml:space="preserve">232 </v>
      </c>
      <c r="K194" s="7" t="str">
        <f>RIGHT(J190,3)</f>
        <v>ksi</v>
      </c>
      <c r="L194" s="7" t="str">
        <f>LEFT(L190,4)</f>
        <v>1.60</v>
      </c>
      <c r="M194" s="7" t="str">
        <f>RIGHT(L190,3)</f>
        <v>Gpa</v>
      </c>
      <c r="N194" s="7" t="str">
        <f t="shared" si="42"/>
        <v>NA</v>
      </c>
      <c r="O194" s="7" t="str">
        <f>RIGHT(N190,3)</f>
        <v>NA</v>
      </c>
      <c r="P194" s="7" t="str">
        <f t="shared" si="42"/>
        <v>NA</v>
      </c>
      <c r="Q194" s="7" t="str">
        <f>RIGHT(P190,3)</f>
        <v>NA</v>
      </c>
    </row>
    <row r="195" spans="1:17" s="89" customFormat="1" x14ac:dyDescent="0.25"/>
    <row r="196" spans="1:17" s="89" customFormat="1" x14ac:dyDescent="0.25"/>
    <row r="197" spans="1:17" s="89" customFormat="1" x14ac:dyDescent="0.25"/>
    <row r="198" spans="1:17" s="89" customFormat="1" x14ac:dyDescent="0.25"/>
    <row r="199" spans="1:17" s="89" customFormat="1" x14ac:dyDescent="0.25"/>
    <row r="200" spans="1:17" s="89" customFormat="1" x14ac:dyDescent="0.25"/>
    <row r="201" spans="1:17" s="89" customFormat="1" x14ac:dyDescent="0.25"/>
    <row r="202" spans="1:17" s="89" customFormat="1" x14ac:dyDescent="0.25"/>
    <row r="203" spans="1:17" s="89" customFormat="1" x14ac:dyDescent="0.25"/>
    <row r="204" spans="1:17" s="89" customFormat="1" x14ac:dyDescent="0.25"/>
    <row r="205" spans="1:17" s="89" customFormat="1" x14ac:dyDescent="0.25"/>
    <row r="206" spans="1:17" s="89" customFormat="1" x14ac:dyDescent="0.25"/>
    <row r="207" spans="1:17" s="195" customFormat="1" ht="15.75" thickBot="1" x14ac:dyDescent="0.3"/>
    <row r="208" spans="1:17" s="89" customFormat="1" x14ac:dyDescent="0.25">
      <c r="A208" s="194"/>
      <c r="K208" s="531" t="s">
        <v>1942</v>
      </c>
      <c r="L208" s="531"/>
      <c r="M208" s="531"/>
      <c r="N208" s="531" t="s">
        <v>2077</v>
      </c>
      <c r="O208" s="531"/>
      <c r="P208" s="531"/>
    </row>
    <row r="209" spans="1:48" s="89" customFormat="1" x14ac:dyDescent="0.25">
      <c r="A209" s="194" t="s">
        <v>771</v>
      </c>
      <c r="B209" s="89" t="s">
        <v>2030</v>
      </c>
      <c r="E209" s="89" t="s">
        <v>2031</v>
      </c>
      <c r="J209" s="89" t="s">
        <v>2034</v>
      </c>
      <c r="K209" s="197" t="s">
        <v>2035</v>
      </c>
      <c r="L209" s="197" t="s">
        <v>2036</v>
      </c>
      <c r="M209" s="197" t="s">
        <v>2037</v>
      </c>
      <c r="N209" s="197" t="s">
        <v>1837</v>
      </c>
      <c r="O209" s="197" t="s">
        <v>1838</v>
      </c>
      <c r="P209" s="197" t="s">
        <v>1864</v>
      </c>
      <c r="S209" s="196" t="s">
        <v>2066</v>
      </c>
      <c r="T209" s="196" t="s">
        <v>2035</v>
      </c>
      <c r="U209" s="196" t="s">
        <v>2036</v>
      </c>
      <c r="V209" s="196" t="s">
        <v>2037</v>
      </c>
      <c r="X209" s="196" t="s">
        <v>2090</v>
      </c>
    </row>
    <row r="210" spans="1:48" s="89" customFormat="1" x14ac:dyDescent="0.25">
      <c r="A210" s="194" t="s">
        <v>2022</v>
      </c>
      <c r="B210" s="194"/>
      <c r="C210" s="194" t="s">
        <v>723</v>
      </c>
      <c r="E210" s="194" t="s">
        <v>2022</v>
      </c>
      <c r="F210" s="194"/>
      <c r="G210" s="194" t="s">
        <v>723</v>
      </c>
      <c r="J210" s="89" t="s">
        <v>1924</v>
      </c>
      <c r="K210" s="89">
        <f>T210</f>
        <v>0</v>
      </c>
      <c r="L210" s="89">
        <f t="shared" ref="L210" si="43">U210</f>
        <v>2.4250820000000002</v>
      </c>
      <c r="M210" s="89">
        <f>V210</f>
        <v>9.2721908888943605E-2</v>
      </c>
      <c r="N210" s="89">
        <v>0</v>
      </c>
      <c r="O210" s="89">
        <v>0</v>
      </c>
      <c r="P210" s="89">
        <f>-H638</f>
        <v>-2.3463725326735672</v>
      </c>
      <c r="S210" s="89" t="s">
        <v>2070</v>
      </c>
      <c r="T210" s="89">
        <f>AA$212*$X210</f>
        <v>0</v>
      </c>
      <c r="U210" s="89">
        <f t="shared" ref="U210:V213" si="44">AB$212*$X210</f>
        <v>2.4250820000000002</v>
      </c>
      <c r="V210" s="89">
        <f>AC$212*$X210</f>
        <v>9.2721908888943605E-2</v>
      </c>
      <c r="W210" s="89" t="s">
        <v>1942</v>
      </c>
      <c r="X210" s="89">
        <v>2.5</v>
      </c>
      <c r="Z210" s="196" t="s">
        <v>2066</v>
      </c>
      <c r="AA210" s="196" t="s">
        <v>2035</v>
      </c>
      <c r="AB210" s="196" t="s">
        <v>2036</v>
      </c>
      <c r="AC210" s="196" t="s">
        <v>2037</v>
      </c>
      <c r="AE210" s="196" t="s">
        <v>2090</v>
      </c>
      <c r="AL210" s="89" t="s">
        <v>1822</v>
      </c>
    </row>
    <row r="211" spans="1:48" s="89" customFormat="1" x14ac:dyDescent="0.25">
      <c r="A211" s="141" t="s">
        <v>2018</v>
      </c>
      <c r="B211" s="141"/>
      <c r="C211" s="141" t="s">
        <v>2021</v>
      </c>
      <c r="E211" s="141" t="s">
        <v>2018</v>
      </c>
      <c r="F211" s="141"/>
      <c r="G211" s="141" t="s">
        <v>2021</v>
      </c>
      <c r="J211" s="89" t="s">
        <v>1926</v>
      </c>
      <c r="S211" s="89" t="s">
        <v>2088</v>
      </c>
      <c r="T211" s="89">
        <f>AA$212*$X211</f>
        <v>0</v>
      </c>
      <c r="U211" s="89">
        <f t="shared" si="44"/>
        <v>4.8501640000000004</v>
      </c>
      <c r="V211" s="89">
        <f t="shared" si="44"/>
        <v>0.18544381777788721</v>
      </c>
      <c r="W211" s="89" t="s">
        <v>1942</v>
      </c>
      <c r="X211" s="89">
        <v>5</v>
      </c>
      <c r="Z211" s="89" t="s">
        <v>2070</v>
      </c>
      <c r="AA211" s="89">
        <v>0</v>
      </c>
      <c r="AB211" s="89">
        <f>(2.2/2)*V6</f>
        <v>2.4250820000000002</v>
      </c>
      <c r="AC211" s="89">
        <f>H60*0.2*V8</f>
        <v>9.2721908888943605E-2</v>
      </c>
      <c r="AD211" s="89" t="s">
        <v>1942</v>
      </c>
      <c r="AE211" s="89">
        <v>2.5</v>
      </c>
      <c r="AG211" s="89" t="s">
        <v>2284</v>
      </c>
      <c r="AH211" s="89" t="s">
        <v>2283</v>
      </c>
      <c r="AI211" s="89" t="s">
        <v>2282</v>
      </c>
      <c r="AM211" s="89" t="s">
        <v>1926</v>
      </c>
      <c r="AN211" s="89">
        <v>2</v>
      </c>
      <c r="AO211" s="89" t="str">
        <f>CONCATENATE($AL$210,$AM$211,AN211)</f>
        <v>=B2</v>
      </c>
      <c r="AQ211" s="89" t="s">
        <v>1926</v>
      </c>
      <c r="AR211" s="89">
        <v>3</v>
      </c>
      <c r="AS211" s="89" t="str">
        <f>CONCATENATE($AL$210,$AQ$211,AR211)</f>
        <v>=B3</v>
      </c>
      <c r="AT211" s="89" t="s">
        <v>1926</v>
      </c>
      <c r="AU211" s="89">
        <v>7</v>
      </c>
      <c r="AV211" s="89" t="str">
        <f>CONCATENATE($AL$210,$AT$211,AU211)</f>
        <v>=B7</v>
      </c>
    </row>
    <row r="212" spans="1:48" s="89" customFormat="1" x14ac:dyDescent="0.25">
      <c r="A212" s="141" t="s">
        <v>2019</v>
      </c>
      <c r="B212" s="141"/>
      <c r="C212" s="141" t="s">
        <v>2021</v>
      </c>
      <c r="E212" s="141" t="s">
        <v>2019</v>
      </c>
      <c r="F212" s="141"/>
      <c r="G212" s="141" t="s">
        <v>2021</v>
      </c>
      <c r="J212" s="19" t="s">
        <v>1922</v>
      </c>
      <c r="S212" s="89" t="s">
        <v>2089</v>
      </c>
      <c r="T212" s="89">
        <f>AA$212*$X212</f>
        <v>0</v>
      </c>
      <c r="U212" s="89">
        <f t="shared" si="44"/>
        <v>0.97003280000000003</v>
      </c>
      <c r="V212" s="89">
        <f t="shared" si="44"/>
        <v>3.7088763555577442E-2</v>
      </c>
      <c r="W212" s="89" t="s">
        <v>1942</v>
      </c>
      <c r="X212" s="89">
        <v>1</v>
      </c>
      <c r="Z212" s="89" t="s">
        <v>2091</v>
      </c>
      <c r="AA212" s="89">
        <f>AA211/$AE211</f>
        <v>0</v>
      </c>
      <c r="AB212" s="89">
        <f t="shared" ref="AB212" si="45">AB211/$AE211</f>
        <v>0.97003280000000003</v>
      </c>
      <c r="AC212" s="89">
        <f>AC211/$AE211</f>
        <v>3.7088763555577442E-2</v>
      </c>
      <c r="AD212" s="89" t="s">
        <v>1942</v>
      </c>
      <c r="AE212" s="89" t="s">
        <v>2091</v>
      </c>
      <c r="AG212" s="89" t="str">
        <f>B2</f>
        <v>Battery</v>
      </c>
      <c r="AH212" s="89">
        <f>B3</f>
        <v>0.80800000000000005</v>
      </c>
      <c r="AI212" s="89">
        <f>B7</f>
        <v>0.297039068442015</v>
      </c>
      <c r="AN212" s="89">
        <f>AN211+10</f>
        <v>12</v>
      </c>
      <c r="AO212" s="89" t="str">
        <f t="shared" ref="AO212:AO220" si="46">CONCATENATE($AL$210,$AM$211,AN212)</f>
        <v>=B12</v>
      </c>
      <c r="AR212" s="89">
        <f>AR211+10</f>
        <v>13</v>
      </c>
      <c r="AS212" s="89" t="str">
        <f t="shared" ref="AS212:AS219" si="47">CONCATENATE($AL$210,$AQ$211,AR212)</f>
        <v>=B13</v>
      </c>
      <c r="AU212" s="89">
        <f>AU211+10</f>
        <v>17</v>
      </c>
      <c r="AV212" s="89" t="str">
        <f t="shared" ref="AV212:AV219" si="48">CONCATENATE($AL$210,$AT$211,AU212)</f>
        <v>=B17</v>
      </c>
    </row>
    <row r="213" spans="1:48" s="89" customFormat="1" x14ac:dyDescent="0.25">
      <c r="A213" s="141" t="s">
        <v>2020</v>
      </c>
      <c r="B213" s="141"/>
      <c r="C213" s="141" t="s">
        <v>2021</v>
      </c>
      <c r="E213" s="141" t="s">
        <v>2020</v>
      </c>
      <c r="F213" s="141"/>
      <c r="G213" s="141" t="s">
        <v>2021</v>
      </c>
      <c r="S213" s="89" t="s">
        <v>2070</v>
      </c>
      <c r="T213" s="89">
        <f>AA$212*$X213</f>
        <v>0</v>
      </c>
      <c r="U213" s="89">
        <f t="shared" si="44"/>
        <v>2.4250820000000002</v>
      </c>
      <c r="V213" s="89">
        <f t="shared" si="44"/>
        <v>9.2721908888943605E-2</v>
      </c>
      <c r="W213" s="89" t="s">
        <v>1942</v>
      </c>
      <c r="X213" s="89">
        <v>2.5</v>
      </c>
      <c r="AG213" s="89" t="str">
        <f>B12</f>
        <v>Camera+Gimbal_1</v>
      </c>
      <c r="AH213" s="89">
        <f>B13</f>
        <v>0.29499999999999998</v>
      </c>
      <c r="AI213" s="89">
        <f>B17</f>
        <v>0.463389068442015</v>
      </c>
      <c r="AN213" s="89">
        <f t="shared" ref="AN213:AN220" si="49">AN212+10</f>
        <v>22</v>
      </c>
      <c r="AO213" s="89" t="str">
        <f t="shared" si="46"/>
        <v>=B22</v>
      </c>
      <c r="AR213" s="89">
        <f t="shared" ref="AR213:AR219" si="50">AR212+10</f>
        <v>23</v>
      </c>
      <c r="AS213" s="89" t="str">
        <f t="shared" si="47"/>
        <v>=B23</v>
      </c>
      <c r="AU213" s="89">
        <f t="shared" ref="AU213:AU219" si="51">AU212+10</f>
        <v>27</v>
      </c>
      <c r="AV213" s="89" t="str">
        <f t="shared" si="48"/>
        <v>=B27</v>
      </c>
    </row>
    <row r="214" spans="1:48" s="89" customFormat="1" x14ac:dyDescent="0.25">
      <c r="AG214" s="89" t="str">
        <f>B22</f>
        <v>Camera+Gimbal_2</v>
      </c>
      <c r="AH214" s="89">
        <f>B23</f>
        <v>0.29499999999999998</v>
      </c>
      <c r="AI214" s="89">
        <f>B27</f>
        <v>0.70338906844201499</v>
      </c>
      <c r="AN214" s="89">
        <f t="shared" si="49"/>
        <v>32</v>
      </c>
      <c r="AO214" s="89" t="str">
        <f t="shared" si="46"/>
        <v>=B32</v>
      </c>
      <c r="AR214" s="89">
        <f t="shared" si="50"/>
        <v>33</v>
      </c>
      <c r="AS214" s="89" t="str">
        <f t="shared" si="47"/>
        <v>=B33</v>
      </c>
      <c r="AU214" s="89">
        <f t="shared" si="51"/>
        <v>37</v>
      </c>
      <c r="AV214" s="89" t="str">
        <f t="shared" si="48"/>
        <v>=B37</v>
      </c>
    </row>
    <row r="215" spans="1:48" s="89" customFormat="1" x14ac:dyDescent="0.25">
      <c r="AG215" s="89" t="str">
        <f>B32</f>
        <v>Ardupilot</v>
      </c>
      <c r="AH215" s="89">
        <f>B33</f>
        <v>2.8000000000000001E-2</v>
      </c>
      <c r="AI215" s="89">
        <f>B37</f>
        <v>0.90838906844201495</v>
      </c>
      <c r="AN215" s="89">
        <f t="shared" si="49"/>
        <v>42</v>
      </c>
      <c r="AO215" s="89" t="str">
        <f t="shared" si="46"/>
        <v>=B42</v>
      </c>
      <c r="AR215" s="89">
        <f t="shared" si="50"/>
        <v>43</v>
      </c>
      <c r="AS215" s="89" t="str">
        <f t="shared" si="47"/>
        <v>=B43</v>
      </c>
      <c r="AU215" s="89">
        <f t="shared" si="51"/>
        <v>47</v>
      </c>
      <c r="AV215" s="89" t="str">
        <f t="shared" si="48"/>
        <v>=B47</v>
      </c>
    </row>
    <row r="216" spans="1:48" s="89" customFormat="1" x14ac:dyDescent="0.25">
      <c r="A216" s="196" t="s">
        <v>2023</v>
      </c>
      <c r="AG216" s="89" t="str">
        <f>B42</f>
        <v>Receiver</v>
      </c>
      <c r="AH216" s="89">
        <f>B43</f>
        <v>4.4000000000000003E-3</v>
      </c>
      <c r="AI216" s="89">
        <f>B47</f>
        <v>0.92338906844201496</v>
      </c>
      <c r="AN216" s="89">
        <f t="shared" si="49"/>
        <v>52</v>
      </c>
      <c r="AO216" s="89" t="str">
        <f t="shared" si="46"/>
        <v>=B52</v>
      </c>
      <c r="AR216" s="89">
        <f t="shared" si="50"/>
        <v>53</v>
      </c>
      <c r="AS216" s="89" t="str">
        <f t="shared" si="47"/>
        <v>=B53</v>
      </c>
      <c r="AU216" s="89">
        <f t="shared" si="51"/>
        <v>57</v>
      </c>
      <c r="AV216" s="89" t="str">
        <f t="shared" si="48"/>
        <v>=B57</v>
      </c>
    </row>
    <row r="217" spans="1:48" s="89" customFormat="1" x14ac:dyDescent="0.25">
      <c r="A217" s="19" t="s">
        <v>2024</v>
      </c>
      <c r="B217" s="89">
        <v>1</v>
      </c>
      <c r="C217" s="89" t="s">
        <v>1923</v>
      </c>
      <c r="D217" s="89">
        <f>B217/12</f>
        <v>8.3333333333333329E-2</v>
      </c>
      <c r="E217" s="73" t="s">
        <v>2001</v>
      </c>
      <c r="AG217" s="89" t="str">
        <f>B52</f>
        <v>Telemetry</v>
      </c>
      <c r="AH217" s="89">
        <f>B53</f>
        <v>4.0000000000000001E-3</v>
      </c>
      <c r="AI217" s="89">
        <f>B57</f>
        <v>0.97113906844201503</v>
      </c>
      <c r="AN217" s="89">
        <f t="shared" si="49"/>
        <v>62</v>
      </c>
      <c r="AO217" s="89" t="str">
        <f t="shared" si="46"/>
        <v>=B62</v>
      </c>
      <c r="AR217" s="89">
        <f t="shared" si="50"/>
        <v>63</v>
      </c>
      <c r="AS217" s="89" t="str">
        <f t="shared" si="47"/>
        <v>=B63</v>
      </c>
      <c r="AU217" s="89">
        <f t="shared" si="51"/>
        <v>67</v>
      </c>
      <c r="AV217" s="89" t="str">
        <f t="shared" si="48"/>
        <v>=B67</v>
      </c>
    </row>
    <row r="218" spans="1:48" s="89" customFormat="1" x14ac:dyDescent="0.25">
      <c r="A218" s="19"/>
      <c r="AG218" s="89" t="str">
        <f>B62</f>
        <v>GPS_module</v>
      </c>
      <c r="AH218" s="89">
        <f>B63</f>
        <v>1.6800000000000002E-2</v>
      </c>
      <c r="AI218" s="89">
        <f>B67</f>
        <v>0.96238906844201499</v>
      </c>
      <c r="AN218" s="89">
        <f t="shared" si="49"/>
        <v>72</v>
      </c>
      <c r="AO218" s="89" t="str">
        <f t="shared" si="46"/>
        <v>=B72</v>
      </c>
      <c r="AR218" s="89">
        <f t="shared" si="50"/>
        <v>73</v>
      </c>
      <c r="AS218" s="89" t="str">
        <f t="shared" si="47"/>
        <v>=B73</v>
      </c>
      <c r="AU218" s="89">
        <f t="shared" si="51"/>
        <v>77</v>
      </c>
      <c r="AV218" s="89" t="str">
        <f t="shared" si="48"/>
        <v>=B77</v>
      </c>
    </row>
    <row r="219" spans="1:48" s="89" customFormat="1" x14ac:dyDescent="0.25">
      <c r="A219" s="19"/>
      <c r="AG219" s="89" t="str">
        <f>B72</f>
        <v>Speed Controller</v>
      </c>
      <c r="AH219" s="89">
        <f>B73</f>
        <v>2.5000000000000001E-2</v>
      </c>
      <c r="AI219" s="89">
        <f>B77</f>
        <v>1.0263890684420149</v>
      </c>
      <c r="AN219" s="89">
        <f t="shared" si="49"/>
        <v>82</v>
      </c>
      <c r="AO219" s="89" t="str">
        <f t="shared" si="46"/>
        <v>=B82</v>
      </c>
      <c r="AR219" s="89">
        <f t="shared" si="50"/>
        <v>83</v>
      </c>
      <c r="AS219" s="89" t="str">
        <f t="shared" si="47"/>
        <v>=B83</v>
      </c>
      <c r="AU219" s="89">
        <f t="shared" si="51"/>
        <v>87</v>
      </c>
      <c r="AV219" s="89" t="str">
        <f t="shared" si="48"/>
        <v>=B87</v>
      </c>
    </row>
    <row r="220" spans="1:48" s="89" customFormat="1" x14ac:dyDescent="0.25">
      <c r="A220" s="19"/>
      <c r="AG220" s="89" t="str">
        <f>B82</f>
        <v>Motor</v>
      </c>
      <c r="AH220" s="89">
        <f>B83</f>
        <v>5.2999999999999999E-2</v>
      </c>
      <c r="AI220" s="89">
        <f>B87</f>
        <v>1.4826886372960693</v>
      </c>
      <c r="AN220" s="89">
        <f t="shared" si="49"/>
        <v>92</v>
      </c>
      <c r="AO220" s="89" t="str">
        <f t="shared" si="46"/>
        <v>=B92</v>
      </c>
    </row>
    <row r="221" spans="1:48" s="89" customFormat="1" x14ac:dyDescent="0.25">
      <c r="A221" s="19"/>
    </row>
    <row r="222" spans="1:48" s="89" customFormat="1" x14ac:dyDescent="0.25">
      <c r="A222" s="19"/>
    </row>
    <row r="223" spans="1:48" s="89" customFormat="1" x14ac:dyDescent="0.25">
      <c r="J223" s="19"/>
      <c r="K223" s="19"/>
      <c r="L223" s="19"/>
      <c r="M223" s="19"/>
      <c r="N223" s="19"/>
      <c r="O223" s="19"/>
      <c r="P223" s="19"/>
    </row>
    <row r="224" spans="1:48" s="89" customFormat="1" x14ac:dyDescent="0.25">
      <c r="A224" s="19" t="s">
        <v>2025</v>
      </c>
      <c r="B224" s="73">
        <v>1.74776234998153</v>
      </c>
      <c r="C224" s="73" t="s">
        <v>1923</v>
      </c>
      <c r="D224" s="73">
        <f>B224/12</f>
        <v>0.14564686249846084</v>
      </c>
      <c r="E224" s="73" t="s">
        <v>2001</v>
      </c>
      <c r="J224" s="19"/>
      <c r="K224" s="532"/>
      <c r="L224" s="532"/>
      <c r="M224" s="532"/>
      <c r="N224" s="532"/>
      <c r="O224" s="532"/>
      <c r="P224" s="532"/>
    </row>
    <row r="225" spans="1:16" s="89" customFormat="1" x14ac:dyDescent="0.25">
      <c r="A225" s="19"/>
      <c r="J225" s="19"/>
      <c r="K225" s="196"/>
      <c r="L225" s="196"/>
      <c r="M225" s="196"/>
      <c r="N225" s="196"/>
      <c r="O225" s="196"/>
      <c r="P225" s="196"/>
    </row>
    <row r="226" spans="1:16" s="89" customFormat="1" x14ac:dyDescent="0.25">
      <c r="A226" s="19"/>
      <c r="J226" s="19"/>
      <c r="K226" s="19"/>
      <c r="L226" s="19"/>
      <c r="M226" s="19"/>
      <c r="N226" s="19"/>
      <c r="O226" s="19"/>
      <c r="P226" s="19"/>
    </row>
    <row r="227" spans="1:16" s="89" customFormat="1" x14ac:dyDescent="0.25">
      <c r="A227" s="19"/>
    </row>
    <row r="228" spans="1:16" s="89" customFormat="1" x14ac:dyDescent="0.25">
      <c r="A228" s="19"/>
    </row>
    <row r="229" spans="1:16" s="89" customFormat="1" x14ac:dyDescent="0.25">
      <c r="A229" s="19"/>
    </row>
    <row r="230" spans="1:16" s="89" customFormat="1" x14ac:dyDescent="0.25">
      <c r="A230" s="19"/>
    </row>
    <row r="231" spans="1:16" s="89" customFormat="1" x14ac:dyDescent="0.25"/>
    <row r="232" spans="1:16" s="89" customFormat="1" x14ac:dyDescent="0.25"/>
    <row r="233" spans="1:16" s="89" customFormat="1" x14ac:dyDescent="0.25">
      <c r="A233" s="19" t="s">
        <v>2026</v>
      </c>
      <c r="B233" s="73">
        <v>0.14397657096062091</v>
      </c>
      <c r="C233" s="73" t="s">
        <v>1923</v>
      </c>
      <c r="D233">
        <f>B233/12</f>
        <v>1.1998047580051742E-2</v>
      </c>
      <c r="E233" s="73" t="s">
        <v>2001</v>
      </c>
    </row>
    <row r="234" spans="1:16" s="89" customFormat="1" x14ac:dyDescent="0.25">
      <c r="A234" s="19"/>
    </row>
    <row r="235" spans="1:16" s="89" customFormat="1" x14ac:dyDescent="0.25">
      <c r="A235" s="19"/>
    </row>
    <row r="236" spans="1:16" s="89" customFormat="1" x14ac:dyDescent="0.25">
      <c r="A236" s="19"/>
    </row>
    <row r="237" spans="1:16" s="89" customFormat="1" x14ac:dyDescent="0.25">
      <c r="A237" s="19"/>
    </row>
    <row r="238" spans="1:16" s="89" customFormat="1" x14ac:dyDescent="0.25">
      <c r="A238" s="19"/>
    </row>
    <row r="239" spans="1:16" s="89" customFormat="1" x14ac:dyDescent="0.25">
      <c r="A239" s="19"/>
    </row>
    <row r="240" spans="1:16" s="89" customFormat="1" x14ac:dyDescent="0.25"/>
    <row r="241" spans="1:8" s="89" customFormat="1" x14ac:dyDescent="0.25"/>
    <row r="242" spans="1:8" s="89" customFormat="1" x14ac:dyDescent="0.25">
      <c r="A242" s="89" t="s">
        <v>2027</v>
      </c>
      <c r="B242" s="73">
        <v>-0.30898652681462635</v>
      </c>
      <c r="C242" s="73" t="s">
        <v>2002</v>
      </c>
      <c r="D242" s="73">
        <v>-2.5748877234552197E-2</v>
      </c>
      <c r="E242" s="73" t="s">
        <v>2003</v>
      </c>
      <c r="F242" t="s">
        <v>1921</v>
      </c>
      <c r="G242" s="73">
        <f>(B320-B322)*D224+D242+D233*(B323-B321)</f>
        <v>-0.13413034700868126</v>
      </c>
      <c r="H242" s="73" t="s">
        <v>1920</v>
      </c>
    </row>
    <row r="243" spans="1:8" s="89" customFormat="1" x14ac:dyDescent="0.25"/>
    <row r="244" spans="1:8" s="89" customFormat="1" x14ac:dyDescent="0.25"/>
    <row r="245" spans="1:8" s="89" customFormat="1" x14ac:dyDescent="0.25"/>
    <row r="246" spans="1:8" s="89" customFormat="1" x14ac:dyDescent="0.25"/>
    <row r="247" spans="1:8" s="89" customFormat="1" x14ac:dyDescent="0.25"/>
    <row r="248" spans="1:8" s="89" customFormat="1" x14ac:dyDescent="0.25"/>
    <row r="249" spans="1:8" s="89" customFormat="1" x14ac:dyDescent="0.25"/>
    <row r="250" spans="1:8" s="89" customFormat="1" x14ac:dyDescent="0.25"/>
    <row r="251" spans="1:8" s="89" customFormat="1" x14ac:dyDescent="0.25">
      <c r="A251" s="89" t="s">
        <v>2028</v>
      </c>
    </row>
    <row r="252" spans="1:8" s="89" customFormat="1" ht="13.5" customHeight="1" x14ac:dyDescent="0.25"/>
    <row r="253" spans="1:8" s="89" customFormat="1" ht="13.5" customHeight="1" x14ac:dyDescent="0.25"/>
    <row r="254" spans="1:8" s="89" customFormat="1" ht="13.5" customHeight="1" x14ac:dyDescent="0.25"/>
    <row r="255" spans="1:8" s="89" customFormat="1" ht="13.5" customHeight="1" x14ac:dyDescent="0.25"/>
    <row r="256" spans="1:8" s="89" customFormat="1" ht="13.5" customHeight="1" x14ac:dyDescent="0.25"/>
    <row r="257" spans="1:1" s="89" customFormat="1" ht="13.5" customHeight="1" x14ac:dyDescent="0.25"/>
    <row r="258" spans="1:1" s="89" customFormat="1" ht="13.5" customHeight="1" x14ac:dyDescent="0.25"/>
    <row r="259" spans="1:1" s="89" customFormat="1" ht="13.5" customHeight="1" x14ac:dyDescent="0.25"/>
    <row r="260" spans="1:1" s="89" customFormat="1" ht="13.5" customHeight="1" x14ac:dyDescent="0.25"/>
    <row r="261" spans="1:1" s="89" customFormat="1" x14ac:dyDescent="0.25"/>
    <row r="262" spans="1:1" s="89" customFormat="1" x14ac:dyDescent="0.25">
      <c r="A262" s="89" t="s">
        <v>2029</v>
      </c>
    </row>
    <row r="263" spans="1:1" s="89" customFormat="1" x14ac:dyDescent="0.25"/>
    <row r="264" spans="1:1" s="89" customFormat="1" x14ac:dyDescent="0.25"/>
    <row r="265" spans="1:1" s="89" customFormat="1" x14ac:dyDescent="0.25"/>
    <row r="266" spans="1:1" s="89" customFormat="1" x14ac:dyDescent="0.25"/>
    <row r="267" spans="1:1" s="89" customFormat="1" x14ac:dyDescent="0.25"/>
    <row r="268" spans="1:1" s="89" customFormat="1" x14ac:dyDescent="0.25"/>
    <row r="269" spans="1:1" s="89" customFormat="1" x14ac:dyDescent="0.25"/>
    <row r="270" spans="1:1" s="89" customFormat="1" x14ac:dyDescent="0.25"/>
    <row r="271" spans="1:1" s="89" customFormat="1" x14ac:dyDescent="0.25">
      <c r="A271" s="194" t="s">
        <v>2032</v>
      </c>
    </row>
    <row r="272" spans="1:1" s="89" customFormat="1" x14ac:dyDescent="0.25">
      <c r="A272" s="194"/>
    </row>
    <row r="273" spans="1:3" s="89" customFormat="1" x14ac:dyDescent="0.25">
      <c r="A273" s="167" t="s">
        <v>2033</v>
      </c>
      <c r="B273" s="73">
        <v>0</v>
      </c>
    </row>
    <row r="274" spans="1:3" s="89" customFormat="1" x14ac:dyDescent="0.25">
      <c r="A274" s="194"/>
    </row>
    <row r="275" spans="1:3" s="89" customFormat="1" x14ac:dyDescent="0.25">
      <c r="A275" s="194"/>
    </row>
    <row r="276" spans="1:3" s="89" customFormat="1" x14ac:dyDescent="0.25">
      <c r="A276" s="194"/>
    </row>
    <row r="277" spans="1:3" s="89" customFormat="1" x14ac:dyDescent="0.25">
      <c r="A277" s="194"/>
    </row>
    <row r="278" spans="1:3" s="89" customFormat="1" x14ac:dyDescent="0.25">
      <c r="A278" s="194"/>
    </row>
    <row r="279" spans="1:3" s="89" customFormat="1" x14ac:dyDescent="0.25">
      <c r="A279" s="194"/>
    </row>
    <row r="280" spans="1:3" s="89" customFormat="1" x14ac:dyDescent="0.25">
      <c r="A280" s="194"/>
    </row>
    <row r="281" spans="1:3" s="89" customFormat="1" x14ac:dyDescent="0.25">
      <c r="A281" s="194"/>
    </row>
    <row r="282" spans="1:3" s="89" customFormat="1" x14ac:dyDescent="0.25">
      <c r="A282" s="167" t="s">
        <v>2073</v>
      </c>
      <c r="B282" s="73">
        <f>L210</f>
        <v>2.4250820000000002</v>
      </c>
      <c r="C282" s="89" t="s">
        <v>1942</v>
      </c>
    </row>
    <row r="283" spans="1:3" s="89" customFormat="1" x14ac:dyDescent="0.25">
      <c r="A283" s="194"/>
    </row>
    <row r="284" spans="1:3" s="89" customFormat="1" x14ac:dyDescent="0.25">
      <c r="A284" s="194"/>
    </row>
    <row r="285" spans="1:3" s="89" customFormat="1" x14ac:dyDescent="0.25">
      <c r="A285" s="194"/>
    </row>
    <row r="286" spans="1:3" s="89" customFormat="1" x14ac:dyDescent="0.25">
      <c r="A286" s="194"/>
    </row>
    <row r="287" spans="1:3" s="89" customFormat="1" x14ac:dyDescent="0.25">
      <c r="A287" s="194"/>
    </row>
    <row r="288" spans="1:3" s="89" customFormat="1" x14ac:dyDescent="0.25"/>
    <row r="289" spans="1:4" s="89" customFormat="1" x14ac:dyDescent="0.25">
      <c r="A289" s="89" t="s">
        <v>2072</v>
      </c>
      <c r="B289" s="73">
        <f>M210</f>
        <v>9.2721908888943605E-2</v>
      </c>
      <c r="D289" s="73"/>
    </row>
    <row r="290" spans="1:4" s="89" customFormat="1" x14ac:dyDescent="0.25"/>
    <row r="291" spans="1:4" s="89" customFormat="1" x14ac:dyDescent="0.25"/>
    <row r="292" spans="1:4" s="89" customFormat="1" x14ac:dyDescent="0.25"/>
    <row r="293" spans="1:4" s="89" customFormat="1" x14ac:dyDescent="0.25"/>
    <row r="294" spans="1:4" s="89" customFormat="1" x14ac:dyDescent="0.25"/>
    <row r="295" spans="1:4" s="89" customFormat="1" x14ac:dyDescent="0.25">
      <c r="A295" s="89" t="s">
        <v>2071</v>
      </c>
      <c r="B295" s="73">
        <f>-G242</f>
        <v>0.13413034700868126</v>
      </c>
      <c r="C295" s="89" t="s">
        <v>1837</v>
      </c>
      <c r="D295" s="73"/>
    </row>
    <row r="296" spans="1:4" s="89" customFormat="1" x14ac:dyDescent="0.25"/>
    <row r="297" spans="1:4" s="89" customFormat="1" x14ac:dyDescent="0.25"/>
    <row r="298" spans="1:4" s="89" customFormat="1" x14ac:dyDescent="0.25"/>
    <row r="299" spans="1:4" s="89" customFormat="1" x14ac:dyDescent="0.25"/>
    <row r="300" spans="1:4" s="89" customFormat="1" x14ac:dyDescent="0.25"/>
    <row r="301" spans="1:4" s="89" customFormat="1" x14ac:dyDescent="0.25"/>
    <row r="302" spans="1:4" s="89" customFormat="1" x14ac:dyDescent="0.25">
      <c r="A302" s="89" t="s">
        <v>2074</v>
      </c>
      <c r="B302" s="73">
        <f>-1*-1*B289</f>
        <v>9.2721908888943605E-2</v>
      </c>
      <c r="C302" s="89" t="s">
        <v>1837</v>
      </c>
      <c r="D302" s="73"/>
    </row>
    <row r="303" spans="1:4" s="89" customFormat="1" x14ac:dyDescent="0.25"/>
    <row r="304" spans="1:4" s="89" customFormat="1" x14ac:dyDescent="0.25"/>
    <row r="305" spans="1:21" s="89" customFormat="1" x14ac:dyDescent="0.25"/>
    <row r="306" spans="1:21" s="89" customFormat="1" x14ac:dyDescent="0.25"/>
    <row r="307" spans="1:21" s="89" customFormat="1" x14ac:dyDescent="0.25"/>
    <row r="308" spans="1:21" s="89" customFormat="1" x14ac:dyDescent="0.25"/>
    <row r="309" spans="1:21" s="89" customFormat="1" x14ac:dyDescent="0.25">
      <c r="A309" s="89" t="s">
        <v>2075</v>
      </c>
      <c r="B309" s="73">
        <f>-B282</f>
        <v>-2.4250820000000002</v>
      </c>
      <c r="C309" s="89" t="s">
        <v>1837</v>
      </c>
    </row>
    <row r="310" spans="1:21" s="89" customFormat="1" x14ac:dyDescent="0.25"/>
    <row r="311" spans="1:21" s="89" customFormat="1" x14ac:dyDescent="0.25"/>
    <row r="312" spans="1:21" s="89" customFormat="1" x14ac:dyDescent="0.25"/>
    <row r="313" spans="1:21" s="89" customFormat="1" x14ac:dyDescent="0.25"/>
    <row r="314" spans="1:21" s="89" customFormat="1" x14ac:dyDescent="0.25"/>
    <row r="315" spans="1:21" s="89" customFormat="1" x14ac:dyDescent="0.25"/>
    <row r="316" spans="1:21" s="89" customFormat="1" ht="15.75" thickBot="1" x14ac:dyDescent="0.3"/>
    <row r="317" spans="1:21" s="193" customFormat="1" ht="14.25" customHeight="1" x14ac:dyDescent="0.25"/>
    <row r="318" spans="1:21" s="89" customFormat="1" x14ac:dyDescent="0.25">
      <c r="A318" s="238" t="s">
        <v>2084</v>
      </c>
      <c r="B318" s="19"/>
      <c r="C318" s="19"/>
      <c r="D318" s="139"/>
      <c r="E318" s="139"/>
      <c r="M318" s="139"/>
      <c r="N318" s="139"/>
      <c r="O318" s="139"/>
      <c r="P318" s="139"/>
      <c r="Q318" s="139"/>
      <c r="R318" s="138"/>
      <c r="S318" s="137"/>
      <c r="T318" s="137"/>
      <c r="U318" s="137"/>
    </row>
    <row r="319" spans="1:21" s="89" customFormat="1" x14ac:dyDescent="0.25">
      <c r="A319" s="140"/>
      <c r="B319" s="19"/>
      <c r="C319" s="19"/>
      <c r="D319" s="139"/>
      <c r="E319" s="139"/>
      <c r="M319" s="139"/>
      <c r="N319" s="139"/>
      <c r="O319" s="139"/>
      <c r="P319" s="139"/>
      <c r="Q319" s="139"/>
      <c r="R319" s="138"/>
      <c r="S319" s="137"/>
      <c r="T319" s="137"/>
      <c r="U319" s="137"/>
    </row>
    <row r="320" spans="1:21" s="89" customFormat="1" x14ac:dyDescent="0.25">
      <c r="A320" s="73" t="s">
        <v>1933</v>
      </c>
      <c r="B320" s="19">
        <f>H638</f>
        <v>2.3463725326735672</v>
      </c>
      <c r="C320" s="19"/>
      <c r="D320" s="139"/>
      <c r="E320" s="139"/>
      <c r="L320" s="73"/>
      <c r="M320" s="139"/>
      <c r="O320" s="73" t="s">
        <v>1862</v>
      </c>
      <c r="P320" s="139">
        <f>W635</f>
        <v>1535.5846021802049</v>
      </c>
      <c r="Q320" s="139" t="s">
        <v>2076</v>
      </c>
      <c r="R320" s="138"/>
      <c r="S320" s="137"/>
      <c r="T320" s="137"/>
      <c r="U320" s="137"/>
    </row>
    <row r="321" spans="1:21" s="89" customFormat="1" x14ac:dyDescent="0.25">
      <c r="A321" s="73" t="s">
        <v>1932</v>
      </c>
      <c r="B321" s="19">
        <f>H640</f>
        <v>5.4592113762606598</v>
      </c>
      <c r="C321" s="19"/>
      <c r="D321" s="139"/>
      <c r="E321" s="139"/>
      <c r="L321" s="73"/>
      <c r="M321" s="139"/>
      <c r="O321" s="73" t="s">
        <v>1861</v>
      </c>
      <c r="P321" s="139">
        <f>V635</f>
        <v>67.648847329012824</v>
      </c>
      <c r="Q321" s="139" t="s">
        <v>2076</v>
      </c>
      <c r="R321" s="138"/>
      <c r="S321" s="137"/>
      <c r="T321" s="137"/>
      <c r="U321" s="137"/>
    </row>
    <row r="322" spans="1:21" s="89" customFormat="1" x14ac:dyDescent="0.25">
      <c r="A322" s="136" t="s">
        <v>1931</v>
      </c>
      <c r="B322" s="136">
        <f>C101*0.25</f>
        <v>2.6728947944006989</v>
      </c>
      <c r="C322" s="73"/>
      <c r="D322" s="73"/>
      <c r="E322" s="73"/>
      <c r="F322" s="73"/>
      <c r="G322" s="73"/>
      <c r="H322" s="73"/>
      <c r="I322" s="73"/>
      <c r="J322"/>
      <c r="K322" s="73"/>
      <c r="L322" s="73"/>
      <c r="M322" s="139"/>
      <c r="O322" s="73" t="s">
        <v>1859</v>
      </c>
      <c r="P322" s="139">
        <f>X635</f>
        <v>18.185381749351123</v>
      </c>
      <c r="Q322" s="139" t="s">
        <v>2076</v>
      </c>
      <c r="R322" s="138"/>
      <c r="S322" s="137"/>
      <c r="T322" s="137"/>
      <c r="U322" s="137"/>
    </row>
    <row r="323" spans="1:21" s="89" customFormat="1" x14ac:dyDescent="0.25">
      <c r="A323" s="73" t="s">
        <v>1930</v>
      </c>
      <c r="B323" s="73">
        <f>0.036447*C101</f>
        <v>0.38967598628608907</v>
      </c>
      <c r="C323" s="73"/>
      <c r="D323" s="73"/>
      <c r="E323" s="73"/>
      <c r="F323" s="73"/>
      <c r="G323" s="73"/>
      <c r="H323" s="73"/>
      <c r="I323" s="73"/>
      <c r="J323" s="73"/>
      <c r="K323" s="73"/>
      <c r="M323" s="139"/>
      <c r="N323" s="139"/>
      <c r="O323" s="139" t="s">
        <v>1929</v>
      </c>
      <c r="P323" s="139">
        <f>(P320*P321-(P322^2))</f>
        <v>103549.82020430194</v>
      </c>
      <c r="Q323" s="139" t="s">
        <v>2076</v>
      </c>
      <c r="R323" s="138"/>
      <c r="S323" s="137"/>
      <c r="T323" s="137"/>
      <c r="U323" s="137"/>
    </row>
    <row r="324" spans="1:21" s="89" customFormat="1" x14ac:dyDescent="0.25">
      <c r="A324" s="73"/>
      <c r="B324" s="73"/>
      <c r="C324" s="73"/>
      <c r="D324" s="73"/>
      <c r="E324" s="73"/>
      <c r="F324" s="73"/>
      <c r="G324" s="73"/>
      <c r="H324" s="73"/>
      <c r="I324" s="73"/>
      <c r="J324" s="73"/>
      <c r="K324" s="73"/>
      <c r="M324" s="139"/>
      <c r="N324"/>
      <c r="O324" s="136" t="s">
        <v>1928</v>
      </c>
      <c r="P324">
        <f>D559*(P320*P321-(P322^2))</f>
        <v>285877651.3247115</v>
      </c>
      <c r="Q324" t="s">
        <v>1927</v>
      </c>
      <c r="R324"/>
      <c r="S324" s="135"/>
      <c r="T324" s="137"/>
      <c r="U324" s="137"/>
    </row>
    <row r="325" spans="1:21" s="89" customFormat="1" x14ac:dyDescent="0.25">
      <c r="A325" s="73"/>
      <c r="C325" s="73"/>
      <c r="D325" s="73"/>
      <c r="E325" s="73"/>
      <c r="F325" s="73"/>
      <c r="G325" s="73"/>
      <c r="H325" s="73"/>
      <c r="I325" s="73"/>
      <c r="J325" s="73"/>
      <c r="K325" s="73"/>
      <c r="M325" s="139"/>
      <c r="N325" t="s">
        <v>1926</v>
      </c>
      <c r="O325" s="136" t="s">
        <v>2082</v>
      </c>
      <c r="P325">
        <f>P322/P324</f>
        <v>6.3612463811294655E-8</v>
      </c>
      <c r="Q325"/>
      <c r="R325" s="136"/>
      <c r="S325" s="135"/>
      <c r="T325" s="137"/>
      <c r="U325" s="137"/>
    </row>
    <row r="326" spans="1:21" s="89" customFormat="1" x14ac:dyDescent="0.25">
      <c r="C326" s="73"/>
      <c r="I326" s="73"/>
      <c r="J326" s="73"/>
      <c r="K326" s="73"/>
      <c r="M326" s="139"/>
      <c r="N326" t="s">
        <v>1924</v>
      </c>
      <c r="O326" s="136" t="s">
        <v>2083</v>
      </c>
      <c r="P326">
        <f>P320/P324</f>
        <v>5.3714748077177435E-6</v>
      </c>
      <c r="Q326"/>
      <c r="R326"/>
      <c r="S326" s="135"/>
      <c r="T326" s="137"/>
      <c r="U326" s="137"/>
    </row>
    <row r="327" spans="1:21" s="89" customFormat="1" x14ac:dyDescent="0.25">
      <c r="C327" s="73"/>
      <c r="D327" s="73"/>
      <c r="I327" s="73"/>
      <c r="J327" s="73"/>
      <c r="K327" s="73"/>
      <c r="M327" s="139"/>
      <c r="N327"/>
      <c r="O327" s="136"/>
      <c r="P327"/>
      <c r="Q327"/>
      <c r="R327"/>
      <c r="S327" s="135"/>
      <c r="T327" s="137"/>
      <c r="U327" s="137"/>
    </row>
    <row r="328" spans="1:21" s="89" customFormat="1" x14ac:dyDescent="0.25">
      <c r="C328" s="73"/>
      <c r="D328" s="73"/>
      <c r="M328" s="139"/>
      <c r="N328" s="73"/>
      <c r="O328" s="136"/>
      <c r="P328"/>
      <c r="Q328"/>
      <c r="R328"/>
      <c r="S328" s="135"/>
      <c r="T328" s="137"/>
      <c r="U328" s="137"/>
    </row>
    <row r="329" spans="1:21" s="89" customFormat="1" x14ac:dyDescent="0.25">
      <c r="C329" s="73"/>
      <c r="D329" s="73"/>
      <c r="E329" s="73"/>
      <c r="F329" s="73"/>
      <c r="G329" s="73"/>
      <c r="H329" s="73"/>
      <c r="I329" s="73"/>
      <c r="J329" s="73"/>
      <c r="K329" s="73"/>
      <c r="M329" s="139"/>
      <c r="N329"/>
      <c r="O329" s="136"/>
      <c r="P329" t="s">
        <v>2093</v>
      </c>
      <c r="Q329"/>
      <c r="R329"/>
      <c r="S329" s="135"/>
      <c r="T329" s="137" t="s">
        <v>2094</v>
      </c>
      <c r="U329" s="137"/>
    </row>
    <row r="330" spans="1:21" s="89" customFormat="1" x14ac:dyDescent="0.25">
      <c r="A330" s="73"/>
      <c r="C330" s="73"/>
      <c r="D330" s="136"/>
      <c r="E330" s="136"/>
      <c r="F330" s="73"/>
      <c r="G330" s="73"/>
      <c r="H330" s="73"/>
      <c r="I330" s="73"/>
      <c r="J330" s="73"/>
      <c r="K330" s="73"/>
      <c r="M330" s="139"/>
      <c r="N330"/>
      <c r="O330" s="285" t="s">
        <v>1919</v>
      </c>
      <c r="P330">
        <f>-((B309*P326*(A334^3)/6)+(B302*P325*(A334^3)/6)+P331*A334)</f>
        <v>-6.6303675960819294E-10</v>
      </c>
      <c r="Q330" t="s">
        <v>701</v>
      </c>
      <c r="R330">
        <f>-((B309*P326*(A334^3)/6)+(B302*P325*(A334^3)/6)+P331*A334)</f>
        <v>-6.6303675960819294E-10</v>
      </c>
      <c r="S330" s="135"/>
      <c r="T330" s="287">
        <f>L210*(A334^3)/(3*(19.5*10^6)*L538)</f>
        <v>3.6453717307722155E-8</v>
      </c>
      <c r="U330" s="137" t="s">
        <v>701</v>
      </c>
    </row>
    <row r="331" spans="1:21" s="89" customFormat="1" x14ac:dyDescent="0.25">
      <c r="A331" s="73"/>
      <c r="B331" s="73"/>
      <c r="C331" s="73"/>
      <c r="D331" s="136"/>
      <c r="E331" s="136"/>
      <c r="F331" s="73"/>
      <c r="G331" s="73"/>
      <c r="H331" s="73"/>
      <c r="I331" s="73"/>
      <c r="J331" s="73"/>
      <c r="K331" s="73"/>
      <c r="M331" s="139"/>
      <c r="N331" s="139"/>
      <c r="O331" s="286" t="s">
        <v>2092</v>
      </c>
      <c r="P331" s="139">
        <f>-((B309*(A334^2)/2)*P326+(B302*(A334^2)/2)*P325)</f>
        <v>1.8604457262884582E-8</v>
      </c>
      <c r="Q331" s="139">
        <f>P331*180/PI()</f>
        <v>1.065956881294798E-6</v>
      </c>
      <c r="R331" s="284" t="s">
        <v>1977</v>
      </c>
      <c r="S331" s="137"/>
      <c r="T331" s="137"/>
      <c r="U331" s="137"/>
    </row>
    <row r="332" spans="1:21" s="89" customFormat="1" x14ac:dyDescent="0.25">
      <c r="A332" s="73"/>
      <c r="B332" s="73"/>
      <c r="C332" s="73"/>
      <c r="D332" s="136"/>
      <c r="E332" s="136"/>
      <c r="F332" s="73"/>
      <c r="G332" s="533" t="s">
        <v>1918</v>
      </c>
      <c r="H332" s="533"/>
      <c r="I332" s="533"/>
      <c r="J332" s="534" t="s">
        <v>2078</v>
      </c>
      <c r="K332" s="535"/>
      <c r="L332" s="535"/>
      <c r="M332" s="536"/>
      <c r="N332" s="139"/>
      <c r="O332" s="139"/>
      <c r="P332" s="139">
        <f>(B309*(A334^2)/2)*P326</f>
        <v>-1.8612885142176878E-8</v>
      </c>
      <c r="Q332" s="139"/>
      <c r="R332" s="138"/>
      <c r="S332" s="137"/>
      <c r="T332" s="137"/>
      <c r="U332" s="137"/>
    </row>
    <row r="333" spans="1:21" s="89" customFormat="1" ht="15.75" thickBot="1" x14ac:dyDescent="0.3">
      <c r="A333" s="73" t="s">
        <v>1917</v>
      </c>
      <c r="B333" s="73" t="s">
        <v>1916</v>
      </c>
      <c r="C333" s="73" t="s">
        <v>1915</v>
      </c>
      <c r="D333" s="73" t="s">
        <v>1914</v>
      </c>
      <c r="E333" s="136" t="s">
        <v>1913</v>
      </c>
      <c r="F333" s="136" t="s">
        <v>1912</v>
      </c>
      <c r="G333" s="245" t="s">
        <v>1911</v>
      </c>
      <c r="H333" s="245" t="s">
        <v>1910</v>
      </c>
      <c r="I333" s="245" t="s">
        <v>1909</v>
      </c>
      <c r="J333" s="245" t="str">
        <f t="shared" ref="J333:J386" si="52">A333</f>
        <v>x in</v>
      </c>
      <c r="K333" s="246" t="s">
        <v>1838</v>
      </c>
      <c r="L333" s="246" t="s">
        <v>1864</v>
      </c>
      <c r="M333" s="246" t="s">
        <v>1908</v>
      </c>
      <c r="N333" s="139"/>
      <c r="O333" s="139"/>
      <c r="P333" s="139"/>
      <c r="Q333" s="139"/>
      <c r="R333" s="284"/>
      <c r="S333" s="137"/>
      <c r="T333" s="137"/>
      <c r="U333" s="137"/>
    </row>
    <row r="334" spans="1:21" s="89" customFormat="1" x14ac:dyDescent="0.25">
      <c r="A334" s="249">
        <f>$C$100/2</f>
        <v>5.3457895888013973E-2</v>
      </c>
      <c r="B334" s="250">
        <f>$B$282</f>
        <v>2.4250820000000002</v>
      </c>
      <c r="C334" s="250">
        <f>$B$289</f>
        <v>9.2721908888943605E-2</v>
      </c>
      <c r="D334" s="250">
        <f>-$B$295*A334</f>
        <v>-7.170326125813269E-3</v>
      </c>
      <c r="E334" s="251">
        <f>$B$309*A334</f>
        <v>-0.12963978107589672</v>
      </c>
      <c r="F334" s="251">
        <f>$B$302*A334</f>
        <v>4.956718151923065E-3</v>
      </c>
      <c r="G334" s="250">
        <v>0</v>
      </c>
      <c r="H334" s="250"/>
      <c r="I334" s="250">
        <f t="shared" ref="I334:I386" si="53">$P$326*$D$233*(A334^4)/24-$P$325*$D$224*(A334^4)/24+$S$324*A334+$S$325</f>
        <v>1.8777407960130313E-14</v>
      </c>
      <c r="J334" s="250">
        <f t="shared" si="52"/>
        <v>5.3457895888013973E-2</v>
      </c>
      <c r="K334" s="252">
        <f>$G$538-$H$640</f>
        <v>3.2788623739340217E-2</v>
      </c>
      <c r="L334" s="253">
        <f>$F$538-$H$638</f>
        <v>-1.8383725326735672</v>
      </c>
      <c r="M334" s="254">
        <f t="shared" ref="M334:M369" si="54">-K334*$E$538*(E334*$P$320+F334*$P$322)/($P$323)+L334*$E$538*(F334*$P$321+E334*$P$322)/($P$323)</f>
        <v>0.69861610421910969</v>
      </c>
      <c r="N334" s="139"/>
      <c r="O334" s="247" t="s">
        <v>2079</v>
      </c>
      <c r="P334" s="139"/>
      <c r="Q334" s="139"/>
      <c r="R334" s="138"/>
      <c r="S334" s="137"/>
      <c r="T334" s="137"/>
      <c r="U334" s="137"/>
    </row>
    <row r="335" spans="1:21" s="89" customFormat="1" x14ac:dyDescent="0.25">
      <c r="A335" s="255">
        <f t="shared" ref="A335:A354" si="55">A334-1</f>
        <v>-0.94654210411198603</v>
      </c>
      <c r="B335" s="242">
        <f t="shared" ref="B335:B355" si="56">$B$282</f>
        <v>2.4250820000000002</v>
      </c>
      <c r="C335" s="242">
        <f t="shared" ref="C335:C355" si="57">$B$289</f>
        <v>9.2721908888943605E-2</v>
      </c>
      <c r="D335" s="242">
        <f t="shared" ref="D335:D386" si="58">-$B$295*A335</f>
        <v>0.12696002088286798</v>
      </c>
      <c r="E335" s="248">
        <f t="shared" ref="E335:E386" si="59">$B$309*A335</f>
        <v>2.2954422189241033</v>
      </c>
      <c r="F335" s="248">
        <f t="shared" ref="F335:F386" si="60">$B$302*A335</f>
        <v>-8.7765190737020535E-2</v>
      </c>
      <c r="G335" s="242">
        <v>0</v>
      </c>
      <c r="H335" s="242"/>
      <c r="I335" s="242">
        <f t="shared" si="53"/>
        <v>1.8456440485985808E-9</v>
      </c>
      <c r="J335" s="242">
        <f t="shared" si="52"/>
        <v>-0.94654210411198603</v>
      </c>
      <c r="K335" s="243">
        <f t="shared" ref="K335:K354" si="61">$G$538-$H$640</f>
        <v>3.2788623739340217E-2</v>
      </c>
      <c r="L335" s="244">
        <f t="shared" ref="L335:L354" si="62">$F$538-$H$638</f>
        <v>-1.8383725326735672</v>
      </c>
      <c r="M335" s="256">
        <f t="shared" si="54"/>
        <v>-12.36991367260941</v>
      </c>
      <c r="N335" s="139"/>
      <c r="O335" s="263" t="s">
        <v>2100</v>
      </c>
      <c r="P335" s="139"/>
      <c r="Q335" s="139"/>
      <c r="R335" s="138"/>
      <c r="S335" s="137"/>
      <c r="T335" s="137"/>
      <c r="U335" s="137"/>
    </row>
    <row r="336" spans="1:21" s="89" customFormat="1" x14ac:dyDescent="0.25">
      <c r="A336" s="255">
        <f t="shared" si="55"/>
        <v>-1.9465421041119861</v>
      </c>
      <c r="B336" s="242">
        <f t="shared" si="56"/>
        <v>2.4250820000000002</v>
      </c>
      <c r="C336" s="242">
        <f t="shared" si="57"/>
        <v>9.2721908888943605E-2</v>
      </c>
      <c r="D336" s="242">
        <f t="shared" si="58"/>
        <v>0.26109036789154927</v>
      </c>
      <c r="E336" s="248">
        <f t="shared" si="59"/>
        <v>4.7205242189241039</v>
      </c>
      <c r="F336" s="248">
        <f t="shared" si="60"/>
        <v>-0.18048709962596415</v>
      </c>
      <c r="G336" s="242">
        <v>0</v>
      </c>
      <c r="H336" s="242"/>
      <c r="I336" s="242">
        <f t="shared" si="53"/>
        <v>3.3009839038763008E-8</v>
      </c>
      <c r="J336" s="242">
        <f t="shared" si="52"/>
        <v>-1.9465421041119861</v>
      </c>
      <c r="K336" s="243">
        <f t="shared" si="61"/>
        <v>3.2788623739340217E-2</v>
      </c>
      <c r="L336" s="244">
        <f t="shared" si="62"/>
        <v>-1.8383725326735672</v>
      </c>
      <c r="M336" s="256">
        <f t="shared" si="54"/>
        <v>-25.438443449437941</v>
      </c>
      <c r="N336" s="139"/>
      <c r="O336" s="290" t="s">
        <v>2085</v>
      </c>
      <c r="P336" s="139"/>
      <c r="Q336" s="139"/>
      <c r="R336" s="138"/>
      <c r="S336" s="137"/>
      <c r="T336" s="137"/>
      <c r="U336" s="137"/>
    </row>
    <row r="337" spans="1:21" s="89" customFormat="1" x14ac:dyDescent="0.25">
      <c r="A337" s="255">
        <f t="shared" si="55"/>
        <v>-2.9465421041119861</v>
      </c>
      <c r="B337" s="242">
        <f t="shared" si="56"/>
        <v>2.4250820000000002</v>
      </c>
      <c r="C337" s="242">
        <f t="shared" si="57"/>
        <v>9.2721908888943605E-2</v>
      </c>
      <c r="D337" s="242">
        <f t="shared" si="58"/>
        <v>0.39522071490023053</v>
      </c>
      <c r="E337" s="248">
        <f t="shared" si="59"/>
        <v>7.1456062189241045</v>
      </c>
      <c r="F337" s="248">
        <f t="shared" si="60"/>
        <v>-0.27320900851490776</v>
      </c>
      <c r="G337" s="242">
        <v>0</v>
      </c>
      <c r="H337" s="242"/>
      <c r="I337" s="242">
        <f t="shared" si="53"/>
        <v>1.7331605835160334E-7</v>
      </c>
      <c r="J337" s="242">
        <f t="shared" si="52"/>
        <v>-2.9465421041119861</v>
      </c>
      <c r="K337" s="243">
        <f t="shared" si="61"/>
        <v>3.2788623739340217E-2</v>
      </c>
      <c r="L337" s="244">
        <f t="shared" si="62"/>
        <v>-1.8383725326735672</v>
      </c>
      <c r="M337" s="256">
        <f t="shared" si="54"/>
        <v>-38.506973226266453</v>
      </c>
      <c r="N337" s="139"/>
      <c r="O337" s="139"/>
      <c r="P337" s="139"/>
      <c r="Q337" s="139"/>
      <c r="R337" s="138"/>
      <c r="S337" s="137"/>
      <c r="T337" s="137"/>
      <c r="U337" s="137"/>
    </row>
    <row r="338" spans="1:21" s="89" customFormat="1" x14ac:dyDescent="0.25">
      <c r="A338" s="255">
        <f t="shared" si="55"/>
        <v>-3.9465421041119861</v>
      </c>
      <c r="B338" s="242">
        <f t="shared" si="56"/>
        <v>2.4250820000000002</v>
      </c>
      <c r="C338" s="242">
        <f t="shared" si="57"/>
        <v>9.2721908888943605E-2</v>
      </c>
      <c r="D338" s="242">
        <f t="shared" si="58"/>
        <v>0.52935106190891179</v>
      </c>
      <c r="E338" s="248">
        <f t="shared" si="59"/>
        <v>9.5706882189241043</v>
      </c>
      <c r="F338" s="248">
        <f t="shared" si="60"/>
        <v>-0.36593091740385136</v>
      </c>
      <c r="G338" s="242">
        <v>0</v>
      </c>
      <c r="H338" s="242"/>
      <c r="I338" s="242">
        <f t="shared" si="53"/>
        <v>5.5777001113895664E-7</v>
      </c>
      <c r="J338" s="242">
        <f t="shared" si="52"/>
        <v>-3.9465421041119861</v>
      </c>
      <c r="K338" s="243">
        <f t="shared" si="61"/>
        <v>3.2788623739340217E-2</v>
      </c>
      <c r="L338" s="244">
        <f t="shared" si="62"/>
        <v>-1.8383725326735672</v>
      </c>
      <c r="M338" s="256">
        <f t="shared" si="54"/>
        <v>-51.57550300309498</v>
      </c>
      <c r="N338" s="139"/>
      <c r="O338" s="139"/>
      <c r="P338" s="139"/>
      <c r="Q338" s="139"/>
      <c r="R338" s="138"/>
      <c r="S338" s="137"/>
      <c r="T338" s="137"/>
      <c r="U338" s="137"/>
    </row>
    <row r="339" spans="1:21" s="89" customFormat="1" x14ac:dyDescent="0.25">
      <c r="A339" s="255">
        <f t="shared" si="55"/>
        <v>-4.9465421041119857</v>
      </c>
      <c r="B339" s="242">
        <f t="shared" si="56"/>
        <v>2.4250820000000002</v>
      </c>
      <c r="C339" s="242">
        <f t="shared" si="57"/>
        <v>9.2721908888943605E-2</v>
      </c>
      <c r="D339" s="242">
        <f t="shared" si="58"/>
        <v>0.663481408917593</v>
      </c>
      <c r="E339" s="248">
        <f t="shared" si="59"/>
        <v>11.995770218924104</v>
      </c>
      <c r="F339" s="248">
        <f t="shared" si="60"/>
        <v>-0.45865282629279491</v>
      </c>
      <c r="G339" s="242">
        <v>0</v>
      </c>
      <c r="H339" s="242"/>
      <c r="I339" s="242">
        <f t="shared" si="53"/>
        <v>1.3765596611007944E-6</v>
      </c>
      <c r="J339" s="242">
        <f t="shared" si="52"/>
        <v>-4.9465421041119857</v>
      </c>
      <c r="K339" s="243">
        <f t="shared" si="61"/>
        <v>3.2788623739340217E-2</v>
      </c>
      <c r="L339" s="244">
        <f t="shared" si="62"/>
        <v>-1.8383725326735672</v>
      </c>
      <c r="M339" s="256">
        <f t="shared" si="54"/>
        <v>-64.644032779923506</v>
      </c>
      <c r="N339" s="139"/>
      <c r="O339" s="139"/>
      <c r="P339" s="139"/>
      <c r="Q339" s="139"/>
      <c r="R339" s="138"/>
      <c r="S339" s="137"/>
      <c r="T339" s="137"/>
      <c r="U339" s="137"/>
    </row>
    <row r="340" spans="1:21" s="89" customFormat="1" x14ac:dyDescent="0.25">
      <c r="A340" s="255">
        <f t="shared" si="55"/>
        <v>-5.9465421041119857</v>
      </c>
      <c r="B340" s="242">
        <f t="shared" si="56"/>
        <v>2.4250820000000002</v>
      </c>
      <c r="C340" s="242">
        <f t="shared" si="57"/>
        <v>9.2721908888943605E-2</v>
      </c>
      <c r="D340" s="242">
        <f t="shared" si="58"/>
        <v>0.7976117559262742</v>
      </c>
      <c r="E340" s="248">
        <f t="shared" si="59"/>
        <v>14.420852218924104</v>
      </c>
      <c r="F340" s="248">
        <f t="shared" si="60"/>
        <v>-0.55137473518173852</v>
      </c>
      <c r="G340" s="242">
        <v>0</v>
      </c>
      <c r="H340" s="242"/>
      <c r="I340" s="242">
        <f t="shared" si="53"/>
        <v>2.8750552264852226E-6</v>
      </c>
      <c r="J340" s="242">
        <f t="shared" si="52"/>
        <v>-5.9465421041119857</v>
      </c>
      <c r="K340" s="243">
        <f t="shared" si="61"/>
        <v>3.2788623739340217E-2</v>
      </c>
      <c r="L340" s="244">
        <f t="shared" si="62"/>
        <v>-1.8383725326735672</v>
      </c>
      <c r="M340" s="256">
        <f t="shared" si="54"/>
        <v>-77.712562556752005</v>
      </c>
      <c r="N340" s="139"/>
      <c r="O340" s="139"/>
      <c r="P340" s="139"/>
      <c r="Q340" s="139"/>
      <c r="R340" s="138"/>
      <c r="S340" s="137"/>
      <c r="T340" s="137"/>
      <c r="U340" s="137"/>
    </row>
    <row r="341" spans="1:21" s="89" customFormat="1" x14ac:dyDescent="0.25">
      <c r="A341" s="255">
        <f t="shared" si="55"/>
        <v>-6.9465421041119857</v>
      </c>
      <c r="B341" s="242">
        <f t="shared" si="56"/>
        <v>2.4250820000000002</v>
      </c>
      <c r="C341" s="242">
        <f t="shared" si="57"/>
        <v>9.2721908888943605E-2</v>
      </c>
      <c r="D341" s="242">
        <f t="shared" si="58"/>
        <v>0.93174210293495552</v>
      </c>
      <c r="E341" s="248">
        <f t="shared" si="59"/>
        <v>16.845934218924103</v>
      </c>
      <c r="F341" s="248">
        <f t="shared" si="60"/>
        <v>-0.64409664407068212</v>
      </c>
      <c r="G341" s="242">
        <v>0</v>
      </c>
      <c r="H341" s="242"/>
      <c r="I341" s="242">
        <f t="shared" si="53"/>
        <v>5.3538091800884846E-6</v>
      </c>
      <c r="J341" s="242">
        <f t="shared" si="52"/>
        <v>-6.9465421041119857</v>
      </c>
      <c r="K341" s="243">
        <f t="shared" si="61"/>
        <v>3.2788623739340217E-2</v>
      </c>
      <c r="L341" s="244">
        <f t="shared" si="62"/>
        <v>-1.8383725326735672</v>
      </c>
      <c r="M341" s="256">
        <f t="shared" si="54"/>
        <v>-90.781092333580546</v>
      </c>
      <c r="N341" s="139"/>
      <c r="O341" s="139"/>
      <c r="P341" s="139"/>
      <c r="Q341" s="139"/>
      <c r="R341" s="138"/>
      <c r="S341" s="137"/>
      <c r="T341" s="137"/>
      <c r="U341" s="137"/>
    </row>
    <row r="342" spans="1:21" s="89" customFormat="1" x14ac:dyDescent="0.25">
      <c r="A342" s="255">
        <f t="shared" si="55"/>
        <v>-7.9465421041119857</v>
      </c>
      <c r="B342" s="242">
        <f t="shared" si="56"/>
        <v>2.4250820000000002</v>
      </c>
      <c r="C342" s="242">
        <f t="shared" si="57"/>
        <v>9.2721908888943605E-2</v>
      </c>
      <c r="D342" s="242">
        <f t="shared" si="58"/>
        <v>1.0658724499436367</v>
      </c>
      <c r="E342" s="248">
        <f t="shared" si="59"/>
        <v>19.271016218924103</v>
      </c>
      <c r="F342" s="248">
        <f t="shared" si="60"/>
        <v>-0.73681855295962573</v>
      </c>
      <c r="G342" s="242">
        <v>0</v>
      </c>
      <c r="H342" s="242"/>
      <c r="I342" s="242">
        <f t="shared" si="53"/>
        <v>9.1685562492549558E-6</v>
      </c>
      <c r="J342" s="242">
        <f t="shared" si="52"/>
        <v>-7.9465421041119857</v>
      </c>
      <c r="K342" s="243">
        <f t="shared" si="61"/>
        <v>3.2788623739340217E-2</v>
      </c>
      <c r="L342" s="244">
        <f t="shared" si="62"/>
        <v>-1.8383725326735672</v>
      </c>
      <c r="M342" s="256">
        <f t="shared" si="54"/>
        <v>-103.84962211040904</v>
      </c>
      <c r="N342" s="139"/>
      <c r="O342" s="139"/>
      <c r="P342" s="139"/>
      <c r="Q342" s="139"/>
      <c r="R342" s="138"/>
      <c r="S342" s="137"/>
      <c r="T342" s="137"/>
      <c r="U342" s="137"/>
    </row>
    <row r="343" spans="1:21" s="89" customFormat="1" x14ac:dyDescent="0.25">
      <c r="A343" s="255">
        <f t="shared" si="55"/>
        <v>-8.9465421041119857</v>
      </c>
      <c r="B343" s="242">
        <f t="shared" si="56"/>
        <v>2.4250820000000002</v>
      </c>
      <c r="C343" s="242">
        <f t="shared" si="57"/>
        <v>9.2721908888943605E-2</v>
      </c>
      <c r="D343" s="242">
        <f t="shared" si="58"/>
        <v>1.2000027969523179</v>
      </c>
      <c r="E343" s="248">
        <f t="shared" si="59"/>
        <v>21.696098218924103</v>
      </c>
      <c r="F343" s="248">
        <f t="shared" si="60"/>
        <v>-0.82954046184856933</v>
      </c>
      <c r="G343" s="242">
        <v>0</v>
      </c>
      <c r="H343" s="242"/>
      <c r="I343" s="242">
        <f t="shared" si="53"/>
        <v>1.4730213415877142E-5</v>
      </c>
      <c r="J343" s="242">
        <f t="shared" si="52"/>
        <v>-8.9465421041119857</v>
      </c>
      <c r="K343" s="243">
        <f t="shared" si="61"/>
        <v>3.2788623739340217E-2</v>
      </c>
      <c r="L343" s="244">
        <f t="shared" si="62"/>
        <v>-1.8383725326735672</v>
      </c>
      <c r="M343" s="256">
        <f t="shared" si="54"/>
        <v>-116.9181518872376</v>
      </c>
      <c r="N343" s="139"/>
      <c r="O343" s="139"/>
      <c r="P343" s="139"/>
      <c r="Q343" s="139"/>
      <c r="R343" s="138"/>
      <c r="S343" s="137"/>
      <c r="T343" s="137"/>
      <c r="U343" s="137"/>
    </row>
    <row r="344" spans="1:21" s="89" customFormat="1" x14ac:dyDescent="0.25">
      <c r="A344" s="255">
        <f t="shared" si="55"/>
        <v>-9.9465421041119857</v>
      </c>
      <c r="B344" s="242">
        <f t="shared" si="56"/>
        <v>2.4250820000000002</v>
      </c>
      <c r="C344" s="242">
        <f t="shared" si="57"/>
        <v>9.2721908888943605E-2</v>
      </c>
      <c r="D344" s="242">
        <f t="shared" si="58"/>
        <v>1.3341331439609994</v>
      </c>
      <c r="E344" s="248">
        <f t="shared" si="59"/>
        <v>24.121180218924103</v>
      </c>
      <c r="F344" s="248">
        <f t="shared" si="60"/>
        <v>-0.92226237073751294</v>
      </c>
      <c r="G344" s="242">
        <v>0</v>
      </c>
      <c r="H344" s="242"/>
      <c r="I344" s="242">
        <f t="shared" si="53"/>
        <v>2.2504879916395701E-5</v>
      </c>
      <c r="J344" s="242">
        <f t="shared" si="52"/>
        <v>-9.9465421041119857</v>
      </c>
      <c r="K344" s="243">
        <f t="shared" si="61"/>
        <v>3.2788623739340217E-2</v>
      </c>
      <c r="L344" s="244">
        <f t="shared" si="62"/>
        <v>-1.8383725326735672</v>
      </c>
      <c r="M344" s="256">
        <f t="shared" si="54"/>
        <v>-129.98668166406611</v>
      </c>
      <c r="N344" s="139"/>
      <c r="O344" s="139"/>
      <c r="P344" s="139"/>
      <c r="Q344" s="139"/>
      <c r="R344" s="138"/>
      <c r="S344" s="137"/>
      <c r="T344" s="137"/>
      <c r="U344" s="137"/>
    </row>
    <row r="345" spans="1:21" s="89" customFormat="1" x14ac:dyDescent="0.25">
      <c r="A345" s="255">
        <f t="shared" si="55"/>
        <v>-10.946542104111986</v>
      </c>
      <c r="B345" s="242">
        <f t="shared" si="56"/>
        <v>2.4250820000000002</v>
      </c>
      <c r="C345" s="242">
        <f t="shared" si="57"/>
        <v>9.2721908888943605E-2</v>
      </c>
      <c r="D345" s="242">
        <f t="shared" si="58"/>
        <v>1.4682634909696806</v>
      </c>
      <c r="E345" s="248">
        <f t="shared" si="59"/>
        <v>26.546262218924106</v>
      </c>
      <c r="F345" s="248">
        <f t="shared" si="60"/>
        <v>-1.0149842796264565</v>
      </c>
      <c r="G345" s="242">
        <v>0</v>
      </c>
      <c r="H345" s="242"/>
      <c r="I345" s="242">
        <f t="shared" si="53"/>
        <v>3.3013837241799406E-5</v>
      </c>
      <c r="J345" s="242">
        <f t="shared" si="52"/>
        <v>-10.946542104111986</v>
      </c>
      <c r="K345" s="243">
        <f t="shared" si="61"/>
        <v>3.2788623739340217E-2</v>
      </c>
      <c r="L345" s="244">
        <f t="shared" si="62"/>
        <v>-1.8383725326735672</v>
      </c>
      <c r="M345" s="256">
        <f t="shared" si="54"/>
        <v>-143.05521144089465</v>
      </c>
      <c r="N345" s="139"/>
      <c r="O345" s="139"/>
      <c r="P345" s="139"/>
      <c r="Q345" s="139"/>
      <c r="R345" s="138"/>
      <c r="S345" s="137"/>
      <c r="T345" s="137"/>
      <c r="U345" s="137"/>
    </row>
    <row r="346" spans="1:21" s="89" customFormat="1" x14ac:dyDescent="0.25">
      <c r="A346" s="255">
        <f t="shared" si="55"/>
        <v>-11.946542104111986</v>
      </c>
      <c r="B346" s="242">
        <f t="shared" si="56"/>
        <v>2.4250820000000002</v>
      </c>
      <c r="C346" s="242">
        <f t="shared" si="57"/>
        <v>9.2721908888943605E-2</v>
      </c>
      <c r="D346" s="242">
        <f t="shared" si="58"/>
        <v>1.6023938379783618</v>
      </c>
      <c r="E346" s="248">
        <f t="shared" si="59"/>
        <v>28.971344218924106</v>
      </c>
      <c r="F346" s="248">
        <f t="shared" si="60"/>
        <v>-1.1077061885154003</v>
      </c>
      <c r="G346" s="242">
        <v>0</v>
      </c>
      <c r="H346" s="242"/>
      <c r="I346" s="242">
        <f t="shared" si="53"/>
        <v>4.6833549137625167E-5</v>
      </c>
      <c r="J346" s="242">
        <f t="shared" si="52"/>
        <v>-11.946542104111986</v>
      </c>
      <c r="K346" s="243">
        <f t="shared" si="61"/>
        <v>3.2788623739340217E-2</v>
      </c>
      <c r="L346" s="244">
        <f t="shared" si="62"/>
        <v>-1.8383725326735672</v>
      </c>
      <c r="M346" s="256">
        <f t="shared" si="54"/>
        <v>-156.12374121772314</v>
      </c>
      <c r="N346" s="139"/>
      <c r="O346" s="139"/>
      <c r="P346" s="139"/>
      <c r="Q346" s="139"/>
      <c r="R346" s="138"/>
      <c r="S346" s="137"/>
      <c r="T346" s="137"/>
      <c r="U346" s="137"/>
    </row>
    <row r="347" spans="1:21" s="89" customFormat="1" x14ac:dyDescent="0.25">
      <c r="A347" s="255">
        <f t="shared" si="55"/>
        <v>-12.946542104111986</v>
      </c>
      <c r="B347" s="242">
        <f t="shared" si="56"/>
        <v>2.4250820000000002</v>
      </c>
      <c r="C347" s="242">
        <f t="shared" si="57"/>
        <v>9.2721908888943605E-2</v>
      </c>
      <c r="D347" s="242">
        <f t="shared" si="58"/>
        <v>1.736524184987043</v>
      </c>
      <c r="E347" s="248">
        <f t="shared" si="59"/>
        <v>31.396426218924105</v>
      </c>
      <c r="F347" s="248">
        <f t="shared" si="60"/>
        <v>-1.2004280974043438</v>
      </c>
      <c r="G347" s="242">
        <v>0</v>
      </c>
      <c r="H347" s="242"/>
      <c r="I347" s="242">
        <f t="shared" si="53"/>
        <v>6.4595661603958061E-5</v>
      </c>
      <c r="J347" s="242">
        <f t="shared" si="52"/>
        <v>-12.946542104111986</v>
      </c>
      <c r="K347" s="243">
        <f>$G$538-$H$640</f>
        <v>3.2788623739340217E-2</v>
      </c>
      <c r="L347" s="244">
        <f>$F$538-$H$638</f>
        <v>-1.8383725326735672</v>
      </c>
      <c r="M347" s="256">
        <f t="shared" si="54"/>
        <v>-169.19227099455168</v>
      </c>
      <c r="N347" s="139"/>
      <c r="O347" s="139"/>
      <c r="P347" s="139"/>
      <c r="Q347" s="139"/>
      <c r="R347" s="138"/>
      <c r="S347" s="137"/>
      <c r="T347" s="137"/>
      <c r="U347" s="137"/>
    </row>
    <row r="348" spans="1:21" s="89" customFormat="1" x14ac:dyDescent="0.25">
      <c r="A348" s="255">
        <f t="shared" si="55"/>
        <v>-13.946542104111986</v>
      </c>
      <c r="B348" s="242">
        <f t="shared" si="56"/>
        <v>2.4250820000000002</v>
      </c>
      <c r="C348" s="242">
        <f t="shared" si="57"/>
        <v>9.2721908888943605E-2</v>
      </c>
      <c r="D348" s="242">
        <f t="shared" si="58"/>
        <v>1.8706545319957244</v>
      </c>
      <c r="E348" s="248">
        <f t="shared" si="59"/>
        <v>33.821508218924102</v>
      </c>
      <c r="F348" s="248">
        <f t="shared" si="60"/>
        <v>-1.2931500062932875</v>
      </c>
      <c r="G348" s="242">
        <v>0</v>
      </c>
      <c r="H348" s="242"/>
      <c r="I348" s="242">
        <f t="shared" si="53"/>
        <v>8.6987002895431222E-5</v>
      </c>
      <c r="J348" s="242">
        <f t="shared" si="52"/>
        <v>-13.946542104111986</v>
      </c>
      <c r="K348" s="243">
        <f t="shared" si="61"/>
        <v>3.2788623739340217E-2</v>
      </c>
      <c r="L348" s="244">
        <f t="shared" si="62"/>
        <v>-1.8383725326735672</v>
      </c>
      <c r="M348" s="256">
        <f t="shared" si="54"/>
        <v>-182.26080077138019</v>
      </c>
      <c r="N348" s="139"/>
      <c r="O348" s="139"/>
      <c r="P348" s="139"/>
      <c r="Q348" s="139"/>
      <c r="R348" s="138"/>
      <c r="S348" s="137"/>
      <c r="T348" s="137"/>
      <c r="U348" s="137"/>
    </row>
    <row r="349" spans="1:21" s="89" customFormat="1" x14ac:dyDescent="0.25">
      <c r="A349" s="255">
        <f t="shared" si="55"/>
        <v>-14.946542104111986</v>
      </c>
      <c r="B349" s="242">
        <f t="shared" si="56"/>
        <v>2.4250820000000002</v>
      </c>
      <c r="C349" s="242">
        <f t="shared" si="57"/>
        <v>9.2721908888943605E-2</v>
      </c>
      <c r="D349" s="242">
        <f t="shared" si="58"/>
        <v>2.0047848790044056</v>
      </c>
      <c r="E349" s="248">
        <f t="shared" si="59"/>
        <v>36.246590218924105</v>
      </c>
      <c r="F349" s="248">
        <f t="shared" si="60"/>
        <v>-1.385871915182231</v>
      </c>
      <c r="G349" s="242">
        <v>0</v>
      </c>
      <c r="H349" s="242"/>
      <c r="I349" s="242">
        <f t="shared" si="53"/>
        <v>1.14749583521226E-4</v>
      </c>
      <c r="J349" s="242">
        <f t="shared" si="52"/>
        <v>-14.946542104111986</v>
      </c>
      <c r="K349" s="243">
        <f t="shared" si="61"/>
        <v>3.2788623739340217E-2</v>
      </c>
      <c r="L349" s="244">
        <f t="shared" si="62"/>
        <v>-1.8383725326735672</v>
      </c>
      <c r="M349" s="256">
        <f t="shared" si="54"/>
        <v>-195.3293305482087</v>
      </c>
      <c r="N349" s="139"/>
      <c r="O349" s="139"/>
      <c r="P349" s="139"/>
      <c r="Q349" s="139"/>
      <c r="R349" s="138"/>
      <c r="S349" s="137"/>
      <c r="T349" s="137"/>
      <c r="U349" s="137"/>
    </row>
    <row r="350" spans="1:21" s="89" customFormat="1" x14ac:dyDescent="0.25">
      <c r="A350" s="255">
        <f t="shared" si="55"/>
        <v>-15.946542104111986</v>
      </c>
      <c r="B350" s="242">
        <f t="shared" si="56"/>
        <v>2.4250820000000002</v>
      </c>
      <c r="C350" s="242">
        <f t="shared" si="57"/>
        <v>9.2721908888943605E-2</v>
      </c>
      <c r="D350" s="242">
        <f t="shared" si="58"/>
        <v>2.1389152260130868</v>
      </c>
      <c r="E350" s="248">
        <f t="shared" si="59"/>
        <v>38.671672218924108</v>
      </c>
      <c r="F350" s="248">
        <f t="shared" si="60"/>
        <v>-1.4785938240711747</v>
      </c>
      <c r="G350" s="242">
        <v>0</v>
      </c>
      <c r="H350" s="242"/>
      <c r="I350" s="242">
        <f t="shared" si="53"/>
        <v>1.4868059624507189E-4</v>
      </c>
      <c r="J350" s="242">
        <f t="shared" si="52"/>
        <v>-15.946542104111986</v>
      </c>
      <c r="K350" s="243">
        <f t="shared" si="61"/>
        <v>3.2788623739340217E-2</v>
      </c>
      <c r="L350" s="244">
        <f t="shared" si="62"/>
        <v>-1.8383725326735672</v>
      </c>
      <c r="M350" s="256">
        <f t="shared" si="54"/>
        <v>-208.39786032503724</v>
      </c>
      <c r="N350" s="139"/>
      <c r="O350" s="139"/>
      <c r="P350" s="139"/>
      <c r="Q350" s="139"/>
      <c r="R350" s="138"/>
      <c r="S350" s="137"/>
      <c r="T350" s="137"/>
      <c r="U350" s="137"/>
    </row>
    <row r="351" spans="1:21" s="89" customFormat="1" x14ac:dyDescent="0.25">
      <c r="A351" s="255">
        <f t="shared" si="55"/>
        <v>-16.946542104111984</v>
      </c>
      <c r="B351" s="242">
        <f t="shared" si="56"/>
        <v>2.4250820000000002</v>
      </c>
      <c r="C351" s="242">
        <f t="shared" si="57"/>
        <v>9.2721908888943605E-2</v>
      </c>
      <c r="D351" s="242">
        <f t="shared" si="58"/>
        <v>2.273045573021768</v>
      </c>
      <c r="E351" s="248">
        <f t="shared" si="59"/>
        <v>41.096754218924104</v>
      </c>
      <c r="F351" s="248">
        <f t="shared" si="60"/>
        <v>-1.571315732960118</v>
      </c>
      <c r="G351" s="242">
        <v>0</v>
      </c>
      <c r="H351" s="242"/>
      <c r="I351" s="242">
        <f t="shared" si="53"/>
        <v>1.8963241608524635E-4</v>
      </c>
      <c r="J351" s="242">
        <f t="shared" si="52"/>
        <v>-16.946542104111984</v>
      </c>
      <c r="K351" s="243">
        <f t="shared" si="61"/>
        <v>3.2788623739340217E-2</v>
      </c>
      <c r="L351" s="244">
        <f t="shared" si="62"/>
        <v>-1.8383725326735672</v>
      </c>
      <c r="M351" s="256">
        <f t="shared" si="54"/>
        <v>-221.46639010186576</v>
      </c>
      <c r="N351" s="139"/>
      <c r="O351" s="139"/>
      <c r="P351" s="139"/>
      <c r="Q351" s="139"/>
      <c r="R351" s="138"/>
      <c r="S351" s="137"/>
      <c r="T351" s="137"/>
      <c r="U351" s="137"/>
    </row>
    <row r="352" spans="1:21" s="89" customFormat="1" x14ac:dyDescent="0.25">
      <c r="A352" s="255">
        <f t="shared" si="55"/>
        <v>-17.946542104111984</v>
      </c>
      <c r="B352" s="242">
        <f t="shared" si="56"/>
        <v>2.4250820000000002</v>
      </c>
      <c r="C352" s="242">
        <f t="shared" si="57"/>
        <v>9.2721908888943605E-2</v>
      </c>
      <c r="D352" s="242">
        <f t="shared" si="58"/>
        <v>2.4071759200304492</v>
      </c>
      <c r="E352" s="248">
        <f t="shared" si="59"/>
        <v>43.521836218924101</v>
      </c>
      <c r="F352" s="248">
        <f t="shared" si="60"/>
        <v>-1.6640376418490617</v>
      </c>
      <c r="G352" s="242">
        <v>0</v>
      </c>
      <c r="H352" s="242"/>
      <c r="I352" s="242">
        <f t="shared" si="53"/>
        <v>2.3851260031457525E-4</v>
      </c>
      <c r="J352" s="242">
        <f t="shared" si="52"/>
        <v>-17.946542104111984</v>
      </c>
      <c r="K352" s="243">
        <f t="shared" si="61"/>
        <v>3.2788623739340217E-2</v>
      </c>
      <c r="L352" s="244">
        <f t="shared" si="62"/>
        <v>-1.8383725326735672</v>
      </c>
      <c r="M352" s="256">
        <f t="shared" si="54"/>
        <v>-234.53491987869427</v>
      </c>
      <c r="N352" s="139"/>
      <c r="O352" s="139"/>
      <c r="P352" s="139"/>
      <c r="Q352" s="139"/>
      <c r="R352" s="138"/>
      <c r="S352" s="137"/>
      <c r="T352" s="137"/>
      <c r="U352" s="137"/>
    </row>
    <row r="353" spans="1:21" s="89" customFormat="1" x14ac:dyDescent="0.25">
      <c r="A353" s="255">
        <f t="shared" si="55"/>
        <v>-18.946542104111984</v>
      </c>
      <c r="B353" s="242">
        <f t="shared" si="56"/>
        <v>2.4250820000000002</v>
      </c>
      <c r="C353" s="242">
        <f t="shared" si="57"/>
        <v>9.2721908888943605E-2</v>
      </c>
      <c r="D353" s="242">
        <f t="shared" si="58"/>
        <v>2.5413062670391304</v>
      </c>
      <c r="E353" s="248">
        <f t="shared" si="59"/>
        <v>45.946918218924104</v>
      </c>
      <c r="F353" s="248">
        <f t="shared" si="60"/>
        <v>-1.7567595507380052</v>
      </c>
      <c r="G353" s="242">
        <v>0</v>
      </c>
      <c r="H353" s="242"/>
      <c r="I353" s="242">
        <f t="shared" si="53"/>
        <v>2.9628388846043244E-4</v>
      </c>
      <c r="J353" s="242">
        <f t="shared" si="52"/>
        <v>-18.946542104111984</v>
      </c>
      <c r="K353" s="243">
        <f>$G$538-$H$640</f>
        <v>3.2788623739340217E-2</v>
      </c>
      <c r="L353" s="244">
        <f>$F$538-$H$638</f>
        <v>-1.8383725326735672</v>
      </c>
      <c r="M353" s="256">
        <f t="shared" si="54"/>
        <v>-247.60344965552275</v>
      </c>
      <c r="N353" s="139"/>
      <c r="O353" s="139"/>
      <c r="P353" s="139"/>
      <c r="Q353" s="139"/>
      <c r="R353" s="138"/>
      <c r="S353" s="137"/>
      <c r="T353" s="137"/>
      <c r="U353" s="137"/>
    </row>
    <row r="354" spans="1:21" s="89" customFormat="1" x14ac:dyDescent="0.25">
      <c r="A354" s="255">
        <f t="shared" si="55"/>
        <v>-19.946542104111984</v>
      </c>
      <c r="B354" s="242">
        <f t="shared" si="56"/>
        <v>2.4250820000000002</v>
      </c>
      <c r="C354" s="242">
        <f t="shared" si="57"/>
        <v>9.2721908888943605E-2</v>
      </c>
      <c r="D354" s="242">
        <f t="shared" si="58"/>
        <v>2.6754366140478116</v>
      </c>
      <c r="E354" s="248">
        <f t="shared" si="59"/>
        <v>48.3720002189241</v>
      </c>
      <c r="F354" s="248">
        <f t="shared" si="60"/>
        <v>-1.8494814596269489</v>
      </c>
      <c r="G354" s="242">
        <v>0</v>
      </c>
      <c r="H354" s="242"/>
      <c r="I354" s="242">
        <f t="shared" si="53"/>
        <v>3.6396420230473973E-4</v>
      </c>
      <c r="J354" s="242">
        <f t="shared" si="52"/>
        <v>-19.946542104111984</v>
      </c>
      <c r="K354" s="243">
        <f t="shared" si="61"/>
        <v>3.2788623739340217E-2</v>
      </c>
      <c r="L354" s="244">
        <f t="shared" si="62"/>
        <v>-1.8383725326735672</v>
      </c>
      <c r="M354" s="256">
        <f t="shared" si="54"/>
        <v>-260.67197943235135</v>
      </c>
      <c r="N354" s="139"/>
      <c r="O354" s="139"/>
      <c r="P354" s="139"/>
      <c r="Q354" s="139"/>
      <c r="R354" s="138"/>
      <c r="S354" s="137"/>
      <c r="T354" s="137"/>
      <c r="U354" s="137"/>
    </row>
    <row r="355" spans="1:21" s="89" customFormat="1" ht="15.75" thickBot="1" x14ac:dyDescent="0.3">
      <c r="A355" s="257">
        <v>0</v>
      </c>
      <c r="B355" s="258">
        <f t="shared" si="56"/>
        <v>2.4250820000000002</v>
      </c>
      <c r="C355" s="258">
        <f t="shared" si="57"/>
        <v>9.2721908888943605E-2</v>
      </c>
      <c r="D355" s="258">
        <f t="shared" si="58"/>
        <v>0</v>
      </c>
      <c r="E355" s="259">
        <f t="shared" si="59"/>
        <v>0</v>
      </c>
      <c r="F355" s="259">
        <f t="shared" si="60"/>
        <v>0</v>
      </c>
      <c r="G355" s="258">
        <v>0</v>
      </c>
      <c r="H355" s="258"/>
      <c r="I355" s="258">
        <f t="shared" si="53"/>
        <v>0</v>
      </c>
      <c r="J355" s="258">
        <f t="shared" si="52"/>
        <v>0</v>
      </c>
      <c r="K355" s="260">
        <f>$G$538-$H$640</f>
        <v>3.2788623739340217E-2</v>
      </c>
      <c r="L355" s="261">
        <f>$F$538-$H$638</f>
        <v>-1.8383725326735672</v>
      </c>
      <c r="M355" s="262">
        <f t="shared" si="54"/>
        <v>0</v>
      </c>
      <c r="N355" s="139"/>
      <c r="O355" s="139"/>
      <c r="P355" s="139"/>
      <c r="Q355" s="139"/>
      <c r="R355" s="138"/>
      <c r="S355" s="137"/>
      <c r="T355" s="137"/>
      <c r="U355" s="137"/>
    </row>
    <row r="356" spans="1:21" s="89" customFormat="1" x14ac:dyDescent="0.25">
      <c r="A356" s="275">
        <f>$A$334</f>
        <v>5.3457895888013973E-2</v>
      </c>
      <c r="B356" s="276">
        <f>$B$282</f>
        <v>2.4250820000000002</v>
      </c>
      <c r="C356" s="276">
        <f>$B$289</f>
        <v>9.2721908888943605E-2</v>
      </c>
      <c r="D356" s="276">
        <f t="shared" si="58"/>
        <v>-7.170326125813269E-3</v>
      </c>
      <c r="E356" s="277">
        <f t="shared" si="59"/>
        <v>-0.12963978107589672</v>
      </c>
      <c r="F356" s="277">
        <f t="shared" si="60"/>
        <v>4.956718151923065E-3</v>
      </c>
      <c r="G356" s="276">
        <v>0</v>
      </c>
      <c r="H356" s="276"/>
      <c r="I356" s="276">
        <f t="shared" si="53"/>
        <v>1.8777407960130313E-14</v>
      </c>
      <c r="J356" s="276">
        <f t="shared" si="52"/>
        <v>5.3457895888013973E-2</v>
      </c>
      <c r="K356" s="278">
        <f>K357+($AB$113/(2*7))</f>
        <v>0.15978862373934022</v>
      </c>
      <c r="L356" s="279">
        <f t="shared" ref="L356:L369" si="63">$F$538-$H$638</f>
        <v>-1.8383725326735672</v>
      </c>
      <c r="M356" s="280">
        <f t="shared" si="54"/>
        <v>2.4223629014387922</v>
      </c>
      <c r="N356" s="139"/>
      <c r="O356" s="139"/>
      <c r="P356" s="139"/>
      <c r="Q356" s="139"/>
      <c r="R356" s="138"/>
      <c r="S356" s="137"/>
      <c r="T356" s="137"/>
      <c r="U356" s="137"/>
    </row>
    <row r="357" spans="1:21" s="89" customFormat="1" x14ac:dyDescent="0.25">
      <c r="A357" s="232">
        <f t="shared" ref="A357:A386" si="64">$A$334</f>
        <v>5.3457895888013973E-2</v>
      </c>
      <c r="B357" s="267">
        <f t="shared" ref="B357:B386" si="65">$B$282</f>
        <v>2.4250820000000002</v>
      </c>
      <c r="C357" s="267">
        <f t="shared" ref="C357:C386" si="66">$B$289</f>
        <v>9.2721908888943605E-2</v>
      </c>
      <c r="D357" s="267">
        <f t="shared" si="58"/>
        <v>-7.170326125813269E-3</v>
      </c>
      <c r="E357" s="148">
        <f t="shared" si="59"/>
        <v>-0.12963978107589672</v>
      </c>
      <c r="F357" s="148">
        <f t="shared" si="60"/>
        <v>4.956718151923065E-3</v>
      </c>
      <c r="G357" s="267">
        <v>0</v>
      </c>
      <c r="H357" s="267"/>
      <c r="I357" s="267">
        <f t="shared" si="53"/>
        <v>1.8777407960130313E-14</v>
      </c>
      <c r="J357" s="267">
        <f t="shared" si="52"/>
        <v>5.3457895888013973E-2</v>
      </c>
      <c r="K357" s="268">
        <f t="shared" ref="K357:K361" si="67">K358+($AB$113/(2*7))</f>
        <v>0.14164576659648306</v>
      </c>
      <c r="L357" s="269">
        <f t="shared" si="63"/>
        <v>-1.8383725326735672</v>
      </c>
      <c r="M357" s="172">
        <f t="shared" si="54"/>
        <v>2.1761133589788373</v>
      </c>
      <c r="N357" s="139"/>
      <c r="O357" s="139"/>
      <c r="P357" s="139"/>
      <c r="Q357" s="139"/>
      <c r="R357" s="138"/>
      <c r="S357" s="137"/>
      <c r="T357" s="137"/>
      <c r="U357" s="137"/>
    </row>
    <row r="358" spans="1:21" s="89" customFormat="1" x14ac:dyDescent="0.25">
      <c r="A358" s="232">
        <f t="shared" si="64"/>
        <v>5.3457895888013973E-2</v>
      </c>
      <c r="B358" s="267">
        <f t="shared" si="65"/>
        <v>2.4250820000000002</v>
      </c>
      <c r="C358" s="267">
        <f t="shared" si="66"/>
        <v>9.2721908888943605E-2</v>
      </c>
      <c r="D358" s="267">
        <f t="shared" si="58"/>
        <v>-7.170326125813269E-3</v>
      </c>
      <c r="E358" s="148">
        <f t="shared" si="59"/>
        <v>-0.12963978107589672</v>
      </c>
      <c r="F358" s="148">
        <f t="shared" si="60"/>
        <v>4.956718151923065E-3</v>
      </c>
      <c r="G358" s="267">
        <v>0</v>
      </c>
      <c r="H358" s="267"/>
      <c r="I358" s="267">
        <f t="shared" si="53"/>
        <v>1.8777407960130313E-14</v>
      </c>
      <c r="J358" s="267">
        <f t="shared" si="52"/>
        <v>5.3457895888013973E-2</v>
      </c>
      <c r="K358" s="268">
        <f t="shared" si="67"/>
        <v>0.12350290945362592</v>
      </c>
      <c r="L358" s="269">
        <f t="shared" si="63"/>
        <v>-1.8383725326735672</v>
      </c>
      <c r="M358" s="172">
        <f t="shared" si="54"/>
        <v>1.9298638165188826</v>
      </c>
      <c r="N358" s="139"/>
      <c r="O358" s="139"/>
      <c r="P358" s="139"/>
      <c r="Q358" s="139"/>
      <c r="R358" s="138"/>
      <c r="S358" s="137"/>
      <c r="T358" s="137"/>
      <c r="U358" s="137"/>
    </row>
    <row r="359" spans="1:21" s="89" customFormat="1" x14ac:dyDescent="0.25">
      <c r="A359" s="232">
        <f t="shared" si="64"/>
        <v>5.3457895888013973E-2</v>
      </c>
      <c r="B359" s="267">
        <f t="shared" si="65"/>
        <v>2.4250820000000002</v>
      </c>
      <c r="C359" s="267">
        <f t="shared" si="66"/>
        <v>9.2721908888943605E-2</v>
      </c>
      <c r="D359" s="267">
        <f t="shared" si="58"/>
        <v>-7.170326125813269E-3</v>
      </c>
      <c r="E359" s="148">
        <f t="shared" si="59"/>
        <v>-0.12963978107589672</v>
      </c>
      <c r="F359" s="148">
        <f t="shared" si="60"/>
        <v>4.956718151923065E-3</v>
      </c>
      <c r="G359" s="267">
        <v>0</v>
      </c>
      <c r="H359" s="267"/>
      <c r="I359" s="267">
        <f t="shared" si="53"/>
        <v>1.8777407960130313E-14</v>
      </c>
      <c r="J359" s="267">
        <f t="shared" si="52"/>
        <v>5.3457895888013973E-2</v>
      </c>
      <c r="K359" s="268">
        <f t="shared" si="67"/>
        <v>0.10536005231076878</v>
      </c>
      <c r="L359" s="269">
        <f t="shared" si="63"/>
        <v>-1.8383725326735672</v>
      </c>
      <c r="M359" s="172">
        <f t="shared" si="54"/>
        <v>1.6836142740589279</v>
      </c>
      <c r="N359" s="139"/>
      <c r="O359" s="139"/>
      <c r="P359" s="139"/>
      <c r="Q359" s="139"/>
      <c r="R359" s="138"/>
      <c r="S359" s="137"/>
      <c r="T359" s="137"/>
      <c r="U359" s="137"/>
    </row>
    <row r="360" spans="1:21" s="89" customFormat="1" x14ac:dyDescent="0.25">
      <c r="A360" s="232">
        <f t="shared" si="64"/>
        <v>5.3457895888013973E-2</v>
      </c>
      <c r="B360" s="267">
        <f t="shared" si="65"/>
        <v>2.4250820000000002</v>
      </c>
      <c r="C360" s="267">
        <f t="shared" si="66"/>
        <v>9.2721908888943605E-2</v>
      </c>
      <c r="D360" s="267">
        <f t="shared" si="58"/>
        <v>-7.170326125813269E-3</v>
      </c>
      <c r="E360" s="148">
        <f t="shared" si="59"/>
        <v>-0.12963978107589672</v>
      </c>
      <c r="F360" s="148">
        <f t="shared" si="60"/>
        <v>4.956718151923065E-3</v>
      </c>
      <c r="G360" s="267">
        <v>0</v>
      </c>
      <c r="H360" s="267"/>
      <c r="I360" s="267">
        <f t="shared" si="53"/>
        <v>1.8777407960130313E-14</v>
      </c>
      <c r="J360" s="267">
        <f t="shared" si="52"/>
        <v>5.3457895888013973E-2</v>
      </c>
      <c r="K360" s="268">
        <f t="shared" si="67"/>
        <v>8.721719516791164E-2</v>
      </c>
      <c r="L360" s="269">
        <f t="shared" si="63"/>
        <v>-1.8383725326735672</v>
      </c>
      <c r="M360" s="172">
        <f t="shared" si="54"/>
        <v>1.4373647315989735</v>
      </c>
      <c r="N360" s="139"/>
      <c r="O360" s="139"/>
      <c r="P360" s="139"/>
      <c r="Q360" s="139"/>
      <c r="R360" s="138"/>
      <c r="S360" s="137"/>
      <c r="T360" s="137"/>
      <c r="U360" s="137"/>
    </row>
    <row r="361" spans="1:21" s="89" customFormat="1" x14ac:dyDescent="0.25">
      <c r="A361" s="232">
        <f t="shared" si="64"/>
        <v>5.3457895888013973E-2</v>
      </c>
      <c r="B361" s="267">
        <f t="shared" si="65"/>
        <v>2.4250820000000002</v>
      </c>
      <c r="C361" s="267">
        <f t="shared" si="66"/>
        <v>9.2721908888943605E-2</v>
      </c>
      <c r="D361" s="267">
        <f t="shared" si="58"/>
        <v>-7.170326125813269E-3</v>
      </c>
      <c r="E361" s="148">
        <f t="shared" si="59"/>
        <v>-0.12963978107589672</v>
      </c>
      <c r="F361" s="148">
        <f t="shared" si="60"/>
        <v>4.956718151923065E-3</v>
      </c>
      <c r="G361" s="267">
        <v>0</v>
      </c>
      <c r="H361" s="267"/>
      <c r="I361" s="267">
        <f t="shared" si="53"/>
        <v>1.8777407960130313E-14</v>
      </c>
      <c r="J361" s="267">
        <f t="shared" si="52"/>
        <v>5.3457895888013973E-2</v>
      </c>
      <c r="K361" s="268">
        <f t="shared" si="67"/>
        <v>6.9074338025054499E-2</v>
      </c>
      <c r="L361" s="269">
        <f t="shared" si="63"/>
        <v>-1.8383725326735672</v>
      </c>
      <c r="M361" s="172">
        <f t="shared" si="54"/>
        <v>1.1911151891390188</v>
      </c>
      <c r="N361" s="139"/>
      <c r="O361" s="139"/>
      <c r="P361" s="139"/>
      <c r="Q361" s="139"/>
      <c r="R361" s="138"/>
      <c r="S361" s="137"/>
      <c r="T361" s="137"/>
      <c r="U361" s="137"/>
    </row>
    <row r="362" spans="1:21" s="89" customFormat="1" x14ac:dyDescent="0.25">
      <c r="A362" s="232">
        <f t="shared" si="64"/>
        <v>5.3457895888013973E-2</v>
      </c>
      <c r="B362" s="267">
        <f t="shared" si="65"/>
        <v>2.4250820000000002</v>
      </c>
      <c r="C362" s="267">
        <f t="shared" si="66"/>
        <v>9.2721908888943605E-2</v>
      </c>
      <c r="D362" s="267">
        <f t="shared" si="58"/>
        <v>-7.170326125813269E-3</v>
      </c>
      <c r="E362" s="148">
        <f t="shared" si="59"/>
        <v>-0.12963978107589672</v>
      </c>
      <c r="F362" s="148">
        <f t="shared" si="60"/>
        <v>4.956718151923065E-3</v>
      </c>
      <c r="G362" s="267">
        <v>0</v>
      </c>
      <c r="H362" s="267"/>
      <c r="I362" s="267">
        <f t="shared" si="53"/>
        <v>1.8777407960130313E-14</v>
      </c>
      <c r="J362" s="267">
        <f t="shared" si="52"/>
        <v>5.3457895888013973E-2</v>
      </c>
      <c r="K362" s="268">
        <f>K363+($AB$113/(2*7))</f>
        <v>5.0931480882197358E-2</v>
      </c>
      <c r="L362" s="269">
        <f t="shared" si="63"/>
        <v>-1.8383725326735672</v>
      </c>
      <c r="M362" s="172">
        <f t="shared" si="54"/>
        <v>0.94486564667906436</v>
      </c>
      <c r="N362" s="139"/>
      <c r="O362" s="139"/>
      <c r="P362" s="139"/>
      <c r="Q362" s="139"/>
      <c r="R362" s="138"/>
      <c r="S362" s="137"/>
      <c r="T362" s="137"/>
      <c r="U362" s="137"/>
    </row>
    <row r="363" spans="1:21" s="89" customFormat="1" x14ac:dyDescent="0.25">
      <c r="A363" s="270">
        <f t="shared" si="64"/>
        <v>5.3457895888013973E-2</v>
      </c>
      <c r="B363" s="270">
        <f t="shared" si="65"/>
        <v>2.4250820000000002</v>
      </c>
      <c r="C363" s="271">
        <f t="shared" si="66"/>
        <v>9.2721908888943605E-2</v>
      </c>
      <c r="D363" s="271">
        <f t="shared" si="58"/>
        <v>-7.170326125813269E-3</v>
      </c>
      <c r="E363" s="272">
        <f t="shared" si="59"/>
        <v>-0.12963978107589672</v>
      </c>
      <c r="F363" s="272">
        <f t="shared" si="60"/>
        <v>4.956718151923065E-3</v>
      </c>
      <c r="G363" s="271">
        <v>0</v>
      </c>
      <c r="H363" s="271"/>
      <c r="I363" s="271">
        <f t="shared" si="53"/>
        <v>1.8777407960130313E-14</v>
      </c>
      <c r="J363" s="271">
        <f t="shared" si="52"/>
        <v>5.3457895888013973E-2</v>
      </c>
      <c r="K363" s="273">
        <f>$G$538-$H$640</f>
        <v>3.2788623739340217E-2</v>
      </c>
      <c r="L363" s="274">
        <f t="shared" si="63"/>
        <v>-1.8383725326735672</v>
      </c>
      <c r="M363" s="281">
        <f t="shared" si="54"/>
        <v>0.69861610421910969</v>
      </c>
      <c r="N363" s="139"/>
      <c r="O363" s="265"/>
      <c r="P363" s="264"/>
      <c r="Q363" s="139"/>
      <c r="R363" s="138"/>
      <c r="S363" s="137"/>
      <c r="T363" s="137"/>
      <c r="U363" s="137"/>
    </row>
    <row r="364" spans="1:21" s="89" customFormat="1" x14ac:dyDescent="0.25">
      <c r="A364" s="232">
        <f t="shared" si="64"/>
        <v>5.3457895888013973E-2</v>
      </c>
      <c r="B364" s="267">
        <f t="shared" si="65"/>
        <v>2.4250820000000002</v>
      </c>
      <c r="C364" s="267">
        <f t="shared" si="66"/>
        <v>9.2721908888943605E-2</v>
      </c>
      <c r="D364" s="267">
        <f t="shared" si="58"/>
        <v>-7.170326125813269E-3</v>
      </c>
      <c r="E364" s="148">
        <f t="shared" si="59"/>
        <v>-0.12963978107589672</v>
      </c>
      <c r="F364" s="148">
        <f t="shared" si="60"/>
        <v>4.956718151923065E-3</v>
      </c>
      <c r="G364" s="267">
        <v>0</v>
      </c>
      <c r="H364" s="267"/>
      <c r="I364" s="267">
        <f t="shared" si="53"/>
        <v>1.8777407960130313E-14</v>
      </c>
      <c r="J364" s="267">
        <f t="shared" si="52"/>
        <v>5.3457895888013973E-2</v>
      </c>
      <c r="K364" s="268">
        <f>K363-($AB$113/(2*6))</f>
        <v>1.162195707267355E-2</v>
      </c>
      <c r="L364" s="269">
        <f t="shared" si="63"/>
        <v>-1.8383725326735672</v>
      </c>
      <c r="M364" s="172">
        <f t="shared" si="54"/>
        <v>0.41132497134916246</v>
      </c>
      <c r="N364" s="139"/>
      <c r="O364" s="139"/>
      <c r="P364" s="139"/>
      <c r="Q364" s="139"/>
      <c r="R364" s="138"/>
      <c r="S364" s="137"/>
      <c r="T364" s="137"/>
      <c r="U364" s="137"/>
    </row>
    <row r="365" spans="1:21" s="89" customFormat="1" x14ac:dyDescent="0.25">
      <c r="A365" s="232">
        <f t="shared" si="64"/>
        <v>5.3457895888013973E-2</v>
      </c>
      <c r="B365" s="267">
        <f t="shared" si="65"/>
        <v>2.4250820000000002</v>
      </c>
      <c r="C365" s="267">
        <f t="shared" si="66"/>
        <v>9.2721908888943605E-2</v>
      </c>
      <c r="D365" s="267">
        <f t="shared" si="58"/>
        <v>-7.170326125813269E-3</v>
      </c>
      <c r="E365" s="148">
        <f t="shared" si="59"/>
        <v>-0.12963978107589672</v>
      </c>
      <c r="F365" s="148">
        <f t="shared" si="60"/>
        <v>4.956718151923065E-3</v>
      </c>
      <c r="G365" s="267">
        <v>0</v>
      </c>
      <c r="H365" s="267"/>
      <c r="I365" s="267">
        <f t="shared" si="53"/>
        <v>1.8777407960130313E-14</v>
      </c>
      <c r="J365" s="267">
        <f t="shared" si="52"/>
        <v>5.3457895888013973E-2</v>
      </c>
      <c r="K365" s="268">
        <f t="shared" ref="K365:K369" si="68">K364-($AB$113/(2*6))</f>
        <v>-9.544709593993117E-3</v>
      </c>
      <c r="L365" s="269">
        <f t="shared" si="63"/>
        <v>-1.8383725326735672</v>
      </c>
      <c r="M365" s="172">
        <f t="shared" si="54"/>
        <v>0.12403383847921534</v>
      </c>
      <c r="N365" s="139"/>
      <c r="O365" s="139"/>
      <c r="P365" s="139"/>
      <c r="Q365" s="139"/>
      <c r="R365" s="138"/>
      <c r="S365" s="137"/>
      <c r="T365" s="137"/>
      <c r="U365" s="137"/>
    </row>
    <row r="366" spans="1:21" s="89" customFormat="1" x14ac:dyDescent="0.25">
      <c r="A366" s="232">
        <f t="shared" si="64"/>
        <v>5.3457895888013973E-2</v>
      </c>
      <c r="B366" s="267">
        <f t="shared" si="65"/>
        <v>2.4250820000000002</v>
      </c>
      <c r="C366" s="267">
        <f t="shared" si="66"/>
        <v>9.2721908888943605E-2</v>
      </c>
      <c r="D366" s="267">
        <f t="shared" si="58"/>
        <v>-7.170326125813269E-3</v>
      </c>
      <c r="E366" s="148">
        <f t="shared" si="59"/>
        <v>-0.12963978107589672</v>
      </c>
      <c r="F366" s="148">
        <f t="shared" si="60"/>
        <v>4.956718151923065E-3</v>
      </c>
      <c r="G366" s="267">
        <v>0</v>
      </c>
      <c r="H366" s="267"/>
      <c r="I366" s="267">
        <f t="shared" si="53"/>
        <v>1.8777407960130313E-14</v>
      </c>
      <c r="J366" s="267">
        <f t="shared" si="52"/>
        <v>5.3457895888013973E-2</v>
      </c>
      <c r="K366" s="268">
        <f t="shared" si="68"/>
        <v>-3.0711376260659784E-2</v>
      </c>
      <c r="L366" s="269">
        <f t="shared" si="63"/>
        <v>-1.8383725326735672</v>
      </c>
      <c r="M366" s="172">
        <f t="shared" si="54"/>
        <v>-0.16325729439073178</v>
      </c>
      <c r="N366" s="139"/>
      <c r="O366" s="139"/>
      <c r="P366" s="139"/>
      <c r="Q366" s="139"/>
      <c r="R366" s="138"/>
      <c r="S366" s="137"/>
      <c r="T366" s="137"/>
      <c r="U366" s="137"/>
    </row>
    <row r="367" spans="1:21" s="89" customFormat="1" x14ac:dyDescent="0.25">
      <c r="A367" s="232">
        <f t="shared" si="64"/>
        <v>5.3457895888013973E-2</v>
      </c>
      <c r="B367" s="267">
        <f t="shared" si="65"/>
        <v>2.4250820000000002</v>
      </c>
      <c r="C367" s="267">
        <f t="shared" si="66"/>
        <v>9.2721908888943605E-2</v>
      </c>
      <c r="D367" s="267">
        <f t="shared" si="58"/>
        <v>-7.170326125813269E-3</v>
      </c>
      <c r="E367" s="148">
        <f t="shared" si="59"/>
        <v>-0.12963978107589672</v>
      </c>
      <c r="F367" s="148">
        <f t="shared" si="60"/>
        <v>4.956718151923065E-3</v>
      </c>
      <c r="G367" s="267">
        <v>0</v>
      </c>
      <c r="H367" s="267"/>
      <c r="I367" s="267">
        <f t="shared" si="53"/>
        <v>1.8777407960130313E-14</v>
      </c>
      <c r="J367" s="267">
        <f t="shared" si="52"/>
        <v>5.3457895888013973E-2</v>
      </c>
      <c r="K367" s="268">
        <f t="shared" si="68"/>
        <v>-5.1878042927326451E-2</v>
      </c>
      <c r="L367" s="269">
        <f t="shared" si="63"/>
        <v>-1.8383725326735672</v>
      </c>
      <c r="M367" s="172">
        <f t="shared" si="54"/>
        <v>-0.45054842726067895</v>
      </c>
      <c r="N367" s="139"/>
      <c r="O367" s="139"/>
      <c r="P367" s="139"/>
      <c r="Q367" s="139"/>
      <c r="R367" s="138"/>
      <c r="S367" s="137"/>
      <c r="T367" s="137"/>
      <c r="U367" s="137"/>
    </row>
    <row r="368" spans="1:21" s="89" customFormat="1" x14ac:dyDescent="0.25">
      <c r="A368" s="232">
        <f t="shared" si="64"/>
        <v>5.3457895888013973E-2</v>
      </c>
      <c r="B368" s="267">
        <f t="shared" si="65"/>
        <v>2.4250820000000002</v>
      </c>
      <c r="C368" s="267">
        <f t="shared" si="66"/>
        <v>9.2721908888943605E-2</v>
      </c>
      <c r="D368" s="267">
        <f t="shared" si="58"/>
        <v>-7.170326125813269E-3</v>
      </c>
      <c r="E368" s="148">
        <f t="shared" si="59"/>
        <v>-0.12963978107589672</v>
      </c>
      <c r="F368" s="148">
        <f t="shared" si="60"/>
        <v>4.956718151923065E-3</v>
      </c>
      <c r="G368" s="267">
        <v>0</v>
      </c>
      <c r="H368" s="267"/>
      <c r="I368" s="267">
        <f t="shared" si="53"/>
        <v>1.8777407960130313E-14</v>
      </c>
      <c r="J368" s="267">
        <f t="shared" si="52"/>
        <v>5.3457895888013973E-2</v>
      </c>
      <c r="K368" s="268">
        <f t="shared" si="68"/>
        <v>-7.3044709593993118E-2</v>
      </c>
      <c r="L368" s="269">
        <f t="shared" si="63"/>
        <v>-1.8383725326735672</v>
      </c>
      <c r="M368" s="172">
        <f t="shared" si="54"/>
        <v>-0.73783956013062602</v>
      </c>
      <c r="N368" s="139"/>
      <c r="O368" s="139"/>
      <c r="P368" s="139"/>
      <c r="Q368" s="139"/>
      <c r="R368" s="138"/>
      <c r="S368" s="137"/>
      <c r="T368" s="137"/>
      <c r="U368" s="137"/>
    </row>
    <row r="369" spans="1:21" s="89" customFormat="1" x14ac:dyDescent="0.25">
      <c r="A369" s="232">
        <f t="shared" si="64"/>
        <v>5.3457895888013973E-2</v>
      </c>
      <c r="B369" s="267">
        <f t="shared" si="65"/>
        <v>2.4250820000000002</v>
      </c>
      <c r="C369" s="267">
        <f t="shared" si="66"/>
        <v>9.2721908888943605E-2</v>
      </c>
      <c r="D369" s="267">
        <f t="shared" si="58"/>
        <v>-7.170326125813269E-3</v>
      </c>
      <c r="E369" s="148">
        <f t="shared" si="59"/>
        <v>-0.12963978107589672</v>
      </c>
      <c r="F369" s="148">
        <f t="shared" si="60"/>
        <v>4.956718151923065E-3</v>
      </c>
      <c r="G369" s="267">
        <v>0</v>
      </c>
      <c r="H369" s="267"/>
      <c r="I369" s="267">
        <f t="shared" si="53"/>
        <v>1.8777407960130313E-14</v>
      </c>
      <c r="J369" s="267">
        <f t="shared" si="52"/>
        <v>5.3457895888013973E-2</v>
      </c>
      <c r="K369" s="268">
        <f t="shared" si="68"/>
        <v>-9.4211376260659785E-2</v>
      </c>
      <c r="L369" s="269">
        <f t="shared" si="63"/>
        <v>-1.8383725326735672</v>
      </c>
      <c r="M369" s="172">
        <f t="shared" si="54"/>
        <v>-1.0251306930005728</v>
      </c>
      <c r="N369" s="139"/>
      <c r="O369" s="266"/>
      <c r="P369" s="265"/>
      <c r="Q369" s="139"/>
      <c r="R369" s="138"/>
      <c r="S369" s="137"/>
      <c r="T369" s="137"/>
      <c r="U369" s="137"/>
    </row>
    <row r="370" spans="1:21" s="89" customFormat="1" x14ac:dyDescent="0.25">
      <c r="A370" s="291">
        <f t="shared" si="64"/>
        <v>5.3457895888013973E-2</v>
      </c>
      <c r="B370" s="292">
        <f t="shared" si="65"/>
        <v>2.4250820000000002</v>
      </c>
      <c r="C370" s="292">
        <f t="shared" si="66"/>
        <v>9.2721908888943605E-2</v>
      </c>
      <c r="D370" s="292">
        <f t="shared" si="58"/>
        <v>-7.170326125813269E-3</v>
      </c>
      <c r="E370" s="293">
        <f t="shared" si="59"/>
        <v>-0.12963978107589672</v>
      </c>
      <c r="F370" s="293">
        <f t="shared" si="60"/>
        <v>4.956718151923065E-3</v>
      </c>
      <c r="G370" s="292">
        <v>0</v>
      </c>
      <c r="H370" s="292"/>
      <c r="I370" s="292">
        <f t="shared" si="53"/>
        <v>1.8777407960130313E-14</v>
      </c>
      <c r="J370" s="292">
        <f t="shared" si="52"/>
        <v>5.3457895888013973E-2</v>
      </c>
      <c r="K370" s="294">
        <f>MAX($E$106:$E$138)-$H$640</f>
        <v>-4.2996026986578606</v>
      </c>
      <c r="L370" s="295">
        <f t="shared" ref="L370:L377" si="69">INDEX($D$106:$E$138,MATCH(MAX($E$106:$E$138),$E$106:$E$138,0),1)-$H$638</f>
        <v>0.83116479890998374</v>
      </c>
      <c r="M370" s="296">
        <f t="shared" ref="M370:M386" si="70">-K370*$E$559*(E370*$P$320+F370*$P$322)/($P$323)+L370*$E$559*(F370*$P$321+E370*$P$322)/($P$323)</f>
        <v>-8.2784056186680048E-3</v>
      </c>
      <c r="N370" s="139"/>
      <c r="O370" s="266">
        <f>INDEX(D106:E138,MATCH(MAX(E106:E138),E106:E138,0),1)</f>
        <v>3.1775373315835509</v>
      </c>
      <c r="P370" s="265"/>
      <c r="Q370" s="139"/>
      <c r="R370" s="138"/>
      <c r="S370" s="137"/>
      <c r="T370" s="137"/>
      <c r="U370" s="137"/>
    </row>
    <row r="371" spans="1:21" s="89" customFormat="1" x14ac:dyDescent="0.25">
      <c r="A371" s="297">
        <f t="shared" si="64"/>
        <v>5.3457895888013973E-2</v>
      </c>
      <c r="B371" s="298">
        <f t="shared" si="65"/>
        <v>2.4250820000000002</v>
      </c>
      <c r="C371" s="298">
        <f t="shared" si="66"/>
        <v>9.2721908888943605E-2</v>
      </c>
      <c r="D371" s="298">
        <f t="shared" si="58"/>
        <v>-7.170326125813269E-3</v>
      </c>
      <c r="E371" s="290">
        <f t="shared" si="59"/>
        <v>-0.12963978107589672</v>
      </c>
      <c r="F371" s="290">
        <f t="shared" si="60"/>
        <v>4.956718151923065E-3</v>
      </c>
      <c r="G371" s="298">
        <v>0</v>
      </c>
      <c r="H371" s="298"/>
      <c r="I371" s="298">
        <f t="shared" si="53"/>
        <v>1.8777407960130313E-14</v>
      </c>
      <c r="J371" s="298">
        <f t="shared" si="52"/>
        <v>5.3457895888013973E-2</v>
      </c>
      <c r="K371" s="299">
        <f>K370-$K$370/10</f>
        <v>-3.8696424287920745</v>
      </c>
      <c r="L371" s="300">
        <f t="shared" si="69"/>
        <v>0.83116479890998374</v>
      </c>
      <c r="M371" s="301">
        <f t="shared" si="70"/>
        <v>-7.4521882451192905E-3</v>
      </c>
      <c r="N371" s="139"/>
      <c r="O371" s="266">
        <f>MAX($E$106:$E$138)</f>
        <v>1.1596086776027992</v>
      </c>
      <c r="P371" s="265"/>
      <c r="Q371" s="139"/>
      <c r="R371" s="138"/>
      <c r="S371" s="137"/>
      <c r="T371" s="137"/>
      <c r="U371" s="137"/>
    </row>
    <row r="372" spans="1:21" s="89" customFormat="1" x14ac:dyDescent="0.25">
      <c r="A372" s="297">
        <f t="shared" si="64"/>
        <v>5.3457895888013973E-2</v>
      </c>
      <c r="B372" s="298">
        <f t="shared" si="65"/>
        <v>2.4250820000000002</v>
      </c>
      <c r="C372" s="298">
        <f t="shared" si="66"/>
        <v>9.2721908888943605E-2</v>
      </c>
      <c r="D372" s="298">
        <f t="shared" si="58"/>
        <v>-7.170326125813269E-3</v>
      </c>
      <c r="E372" s="290">
        <f t="shared" si="59"/>
        <v>-0.12963978107589672</v>
      </c>
      <c r="F372" s="290">
        <f t="shared" si="60"/>
        <v>4.956718151923065E-3</v>
      </c>
      <c r="G372" s="298">
        <v>0</v>
      </c>
      <c r="H372" s="298"/>
      <c r="I372" s="298">
        <f t="shared" si="53"/>
        <v>1.8777407960130313E-14</v>
      </c>
      <c r="J372" s="298">
        <f t="shared" si="52"/>
        <v>5.3457895888013973E-2</v>
      </c>
      <c r="K372" s="299">
        <f t="shared" ref="K372:K377" si="71">K371-$K$370/10</f>
        <v>-3.4396821589262885</v>
      </c>
      <c r="L372" s="300">
        <f t="shared" si="69"/>
        <v>0.83116479890998374</v>
      </c>
      <c r="M372" s="301">
        <f t="shared" si="70"/>
        <v>-6.6259708715705771E-3</v>
      </c>
      <c r="N372" s="139"/>
      <c r="O372" s="266"/>
      <c r="P372" s="265"/>
      <c r="Q372" s="139"/>
      <c r="R372" s="138"/>
      <c r="S372" s="137"/>
      <c r="T372" s="137"/>
      <c r="U372" s="137"/>
    </row>
    <row r="373" spans="1:21" s="89" customFormat="1" x14ac:dyDescent="0.25">
      <c r="A373" s="297">
        <f t="shared" si="64"/>
        <v>5.3457895888013973E-2</v>
      </c>
      <c r="B373" s="298">
        <f t="shared" si="65"/>
        <v>2.4250820000000002</v>
      </c>
      <c r="C373" s="298">
        <f t="shared" si="66"/>
        <v>9.2721908888943605E-2</v>
      </c>
      <c r="D373" s="298">
        <f t="shared" si="58"/>
        <v>-7.170326125813269E-3</v>
      </c>
      <c r="E373" s="290">
        <f t="shared" si="59"/>
        <v>-0.12963978107589672</v>
      </c>
      <c r="F373" s="290">
        <f t="shared" si="60"/>
        <v>4.956718151923065E-3</v>
      </c>
      <c r="G373" s="298">
        <v>0</v>
      </c>
      <c r="H373" s="298"/>
      <c r="I373" s="298">
        <f t="shared" si="53"/>
        <v>1.8777407960130313E-14</v>
      </c>
      <c r="J373" s="298">
        <f t="shared" si="52"/>
        <v>5.3457895888013973E-2</v>
      </c>
      <c r="K373" s="299">
        <f t="shared" si="71"/>
        <v>-3.0097218890605024</v>
      </c>
      <c r="L373" s="300">
        <f t="shared" si="69"/>
        <v>0.83116479890998374</v>
      </c>
      <c r="M373" s="301">
        <f t="shared" si="70"/>
        <v>-5.799753498021862E-3</v>
      </c>
      <c r="N373" s="139"/>
      <c r="O373" s="266"/>
      <c r="P373" s="265"/>
      <c r="Q373" s="139"/>
      <c r="R373" s="138"/>
      <c r="S373" s="137"/>
      <c r="T373" s="137"/>
      <c r="U373" s="137"/>
    </row>
    <row r="374" spans="1:21" s="89" customFormat="1" x14ac:dyDescent="0.25">
      <c r="A374" s="297">
        <f t="shared" si="64"/>
        <v>5.3457895888013973E-2</v>
      </c>
      <c r="B374" s="298">
        <f t="shared" si="65"/>
        <v>2.4250820000000002</v>
      </c>
      <c r="C374" s="298">
        <f t="shared" si="66"/>
        <v>9.2721908888943605E-2</v>
      </c>
      <c r="D374" s="298">
        <f t="shared" si="58"/>
        <v>-7.170326125813269E-3</v>
      </c>
      <c r="E374" s="290">
        <f t="shared" si="59"/>
        <v>-0.12963978107589672</v>
      </c>
      <c r="F374" s="290">
        <f t="shared" si="60"/>
        <v>4.956718151923065E-3</v>
      </c>
      <c r="G374" s="298">
        <v>0</v>
      </c>
      <c r="H374" s="298"/>
      <c r="I374" s="298">
        <f t="shared" si="53"/>
        <v>1.8777407960130313E-14</v>
      </c>
      <c r="J374" s="298">
        <f t="shared" si="52"/>
        <v>5.3457895888013973E-2</v>
      </c>
      <c r="K374" s="299">
        <f t="shared" si="71"/>
        <v>-2.5797616191947164</v>
      </c>
      <c r="L374" s="300">
        <f t="shared" si="69"/>
        <v>0.83116479890998374</v>
      </c>
      <c r="M374" s="301">
        <f t="shared" si="70"/>
        <v>-4.9735361244731486E-3</v>
      </c>
      <c r="N374" s="139"/>
      <c r="O374" s="266"/>
      <c r="P374" s="265"/>
      <c r="Q374" s="139"/>
      <c r="R374" s="138"/>
      <c r="S374" s="137"/>
      <c r="T374" s="137"/>
      <c r="U374" s="137"/>
    </row>
    <row r="375" spans="1:21" s="89" customFormat="1" x14ac:dyDescent="0.25">
      <c r="A375" s="297">
        <f t="shared" si="64"/>
        <v>5.3457895888013973E-2</v>
      </c>
      <c r="B375" s="298">
        <f t="shared" si="65"/>
        <v>2.4250820000000002</v>
      </c>
      <c r="C375" s="298">
        <f t="shared" si="66"/>
        <v>9.2721908888943605E-2</v>
      </c>
      <c r="D375" s="298">
        <f t="shared" si="58"/>
        <v>-7.170326125813269E-3</v>
      </c>
      <c r="E375" s="290">
        <f t="shared" si="59"/>
        <v>-0.12963978107589672</v>
      </c>
      <c r="F375" s="290">
        <f t="shared" si="60"/>
        <v>4.956718151923065E-3</v>
      </c>
      <c r="G375" s="298">
        <v>0</v>
      </c>
      <c r="H375" s="298"/>
      <c r="I375" s="298">
        <f t="shared" si="53"/>
        <v>1.8777407960130313E-14</v>
      </c>
      <c r="J375" s="298">
        <f t="shared" si="52"/>
        <v>5.3457895888013973E-2</v>
      </c>
      <c r="K375" s="299">
        <f t="shared" si="71"/>
        <v>-2.1498013493289303</v>
      </c>
      <c r="L375" s="300">
        <f t="shared" si="69"/>
        <v>0.83116479890998374</v>
      </c>
      <c r="M375" s="301">
        <f t="shared" si="70"/>
        <v>-4.1473187509244343E-3</v>
      </c>
      <c r="N375" s="139"/>
      <c r="O375" s="266"/>
      <c r="P375" s="265"/>
      <c r="Q375" s="139"/>
      <c r="R375" s="138"/>
      <c r="S375" s="137"/>
      <c r="T375" s="137"/>
      <c r="U375" s="137"/>
    </row>
    <row r="376" spans="1:21" s="89" customFormat="1" x14ac:dyDescent="0.25">
      <c r="A376" s="297">
        <f t="shared" si="64"/>
        <v>5.3457895888013973E-2</v>
      </c>
      <c r="B376" s="298">
        <f t="shared" si="65"/>
        <v>2.4250820000000002</v>
      </c>
      <c r="C376" s="298">
        <f t="shared" si="66"/>
        <v>9.2721908888943605E-2</v>
      </c>
      <c r="D376" s="298">
        <f t="shared" si="58"/>
        <v>-7.170326125813269E-3</v>
      </c>
      <c r="E376" s="290">
        <f t="shared" si="59"/>
        <v>-0.12963978107589672</v>
      </c>
      <c r="F376" s="290">
        <f t="shared" si="60"/>
        <v>4.956718151923065E-3</v>
      </c>
      <c r="G376" s="298">
        <v>0</v>
      </c>
      <c r="H376" s="298"/>
      <c r="I376" s="298">
        <f t="shared" si="53"/>
        <v>1.8777407960130313E-14</v>
      </c>
      <c r="J376" s="298">
        <f t="shared" si="52"/>
        <v>5.3457895888013973E-2</v>
      </c>
      <c r="K376" s="299">
        <f t="shared" si="71"/>
        <v>-1.7198410794631442</v>
      </c>
      <c r="L376" s="300">
        <f t="shared" si="69"/>
        <v>0.83116479890998374</v>
      </c>
      <c r="M376" s="301">
        <f t="shared" si="70"/>
        <v>-3.3211013773757204E-3</v>
      </c>
      <c r="N376" s="139"/>
      <c r="O376" s="266"/>
      <c r="P376" s="265"/>
      <c r="Q376" s="139"/>
      <c r="R376" s="138"/>
      <c r="S376" s="137"/>
      <c r="T376" s="137"/>
      <c r="U376" s="137"/>
    </row>
    <row r="377" spans="1:21" s="89" customFormat="1" x14ac:dyDescent="0.25">
      <c r="A377" s="302">
        <f t="shared" si="64"/>
        <v>5.3457895888013973E-2</v>
      </c>
      <c r="B377" s="303">
        <f t="shared" si="65"/>
        <v>2.4250820000000002</v>
      </c>
      <c r="C377" s="303">
        <f t="shared" si="66"/>
        <v>9.2721908888943605E-2</v>
      </c>
      <c r="D377" s="303">
        <f t="shared" si="58"/>
        <v>-7.170326125813269E-3</v>
      </c>
      <c r="E377" s="304">
        <f t="shared" si="59"/>
        <v>-0.12963978107589672</v>
      </c>
      <c r="F377" s="304">
        <f t="shared" si="60"/>
        <v>4.956718151923065E-3</v>
      </c>
      <c r="G377" s="303">
        <v>0</v>
      </c>
      <c r="H377" s="303"/>
      <c r="I377" s="303">
        <f t="shared" si="53"/>
        <v>1.8777407960130313E-14</v>
      </c>
      <c r="J377" s="303">
        <f t="shared" si="52"/>
        <v>5.3457895888013973E-2</v>
      </c>
      <c r="K377" s="305">
        <f t="shared" si="71"/>
        <v>-1.2898808095973582</v>
      </c>
      <c r="L377" s="306">
        <f t="shared" si="69"/>
        <v>0.83116479890998374</v>
      </c>
      <c r="M377" s="307">
        <f t="shared" si="70"/>
        <v>-2.4948840038270062E-3</v>
      </c>
      <c r="N377" s="139"/>
      <c r="O377" s="266"/>
      <c r="P377" s="265"/>
      <c r="Q377" s="139"/>
      <c r="R377" s="138"/>
      <c r="S377" s="137"/>
      <c r="T377" s="137"/>
      <c r="U377" s="137"/>
    </row>
    <row r="378" spans="1:21" s="89" customFormat="1" x14ac:dyDescent="0.25">
      <c r="A378" s="308">
        <f t="shared" si="64"/>
        <v>5.3457895888013973E-2</v>
      </c>
      <c r="B378" s="309">
        <f t="shared" si="65"/>
        <v>2.4250820000000002</v>
      </c>
      <c r="C378" s="309">
        <f t="shared" si="66"/>
        <v>9.2721908888943605E-2</v>
      </c>
      <c r="D378" s="309">
        <f t="shared" si="58"/>
        <v>-7.170326125813269E-3</v>
      </c>
      <c r="E378" s="310">
        <f t="shared" si="59"/>
        <v>-0.12963978107589672</v>
      </c>
      <c r="F378" s="310">
        <f t="shared" si="60"/>
        <v>4.956718151923065E-3</v>
      </c>
      <c r="G378" s="309">
        <v>0</v>
      </c>
      <c r="H378" s="309"/>
      <c r="I378" s="309">
        <f t="shared" si="53"/>
        <v>1.8777407960130313E-14</v>
      </c>
      <c r="J378" s="309">
        <f t="shared" si="52"/>
        <v>5.3457895888013973E-2</v>
      </c>
      <c r="K378" s="311">
        <v>0</v>
      </c>
      <c r="L378" s="312">
        <v>0</v>
      </c>
      <c r="M378" s="313">
        <f t="shared" si="70"/>
        <v>0</v>
      </c>
      <c r="N378" s="139"/>
      <c r="O378" s="266"/>
      <c r="P378" s="265"/>
      <c r="Q378" s="139"/>
      <c r="R378" s="138"/>
      <c r="S378" s="137"/>
      <c r="T378" s="137"/>
      <c r="U378" s="137"/>
    </row>
    <row r="379" spans="1:21" s="89" customFormat="1" x14ac:dyDescent="0.25">
      <c r="A379" s="297">
        <f t="shared" si="64"/>
        <v>5.3457895888013973E-2</v>
      </c>
      <c r="B379" s="298">
        <f t="shared" si="65"/>
        <v>2.4250820000000002</v>
      </c>
      <c r="C379" s="298">
        <f t="shared" si="66"/>
        <v>9.2721908888943605E-2</v>
      </c>
      <c r="D379" s="298">
        <f t="shared" si="58"/>
        <v>-7.170326125813269E-3</v>
      </c>
      <c r="E379" s="290">
        <f t="shared" si="59"/>
        <v>-0.12963978107589672</v>
      </c>
      <c r="F379" s="290">
        <f t="shared" si="60"/>
        <v>4.956718151923065E-3</v>
      </c>
      <c r="G379" s="298">
        <v>0</v>
      </c>
      <c r="H379" s="298"/>
      <c r="I379" s="298">
        <f t="shared" si="53"/>
        <v>1.8777407960130313E-14</v>
      </c>
      <c r="J379" s="298">
        <f t="shared" si="52"/>
        <v>5.3457895888013973E-2</v>
      </c>
      <c r="K379" s="299">
        <f t="shared" ref="K379:K384" si="72">K380-$K$386/7</f>
        <v>0</v>
      </c>
      <c r="L379" s="300">
        <f t="shared" ref="L379:L386" si="73">INDEX($M$106:$N$138,MATCH(MIN($N$106:$N$138),$N$106:$N$138,0),1)-$H$638</f>
        <v>-0.44059854426586886</v>
      </c>
      <c r="M379" s="301">
        <f t="shared" si="70"/>
        <v>8.6044838635625721E-6</v>
      </c>
      <c r="N379" s="139"/>
      <c r="O379" s="266"/>
      <c r="P379" s="265"/>
      <c r="Q379" s="139"/>
      <c r="R379" s="138"/>
      <c r="S379" s="137"/>
      <c r="T379" s="137"/>
      <c r="U379" s="137"/>
    </row>
    <row r="380" spans="1:21" s="89" customFormat="1" x14ac:dyDescent="0.25">
      <c r="A380" s="297">
        <f t="shared" si="64"/>
        <v>5.3457895888013973E-2</v>
      </c>
      <c r="B380" s="298">
        <f t="shared" si="65"/>
        <v>2.4250820000000002</v>
      </c>
      <c r="C380" s="298">
        <f t="shared" si="66"/>
        <v>9.2721908888943605E-2</v>
      </c>
      <c r="D380" s="298">
        <f t="shared" si="58"/>
        <v>-7.170326125813269E-3</v>
      </c>
      <c r="E380" s="290">
        <f t="shared" si="59"/>
        <v>-0.12963978107589672</v>
      </c>
      <c r="F380" s="290">
        <f t="shared" si="60"/>
        <v>4.956718151923065E-3</v>
      </c>
      <c r="G380" s="298">
        <v>0</v>
      </c>
      <c r="H380" s="298"/>
      <c r="I380" s="298">
        <f t="shared" si="53"/>
        <v>1.8777407960130313E-14</v>
      </c>
      <c r="J380" s="298">
        <f t="shared" si="52"/>
        <v>5.3457895888013973E-2</v>
      </c>
      <c r="K380" s="299">
        <f t="shared" si="72"/>
        <v>-0.83259731644651591</v>
      </c>
      <c r="L380" s="300">
        <f t="shared" si="73"/>
        <v>-0.44059854426586886</v>
      </c>
      <c r="M380" s="301">
        <f t="shared" si="70"/>
        <v>-1.591325593938465E-3</v>
      </c>
      <c r="N380" s="139"/>
      <c r="O380" s="266"/>
      <c r="P380" s="265"/>
      <c r="Q380" s="139"/>
      <c r="R380" s="138"/>
      <c r="S380" s="137"/>
      <c r="T380" s="137"/>
      <c r="U380" s="137"/>
    </row>
    <row r="381" spans="1:21" s="89" customFormat="1" x14ac:dyDescent="0.25">
      <c r="A381" s="297">
        <f t="shared" si="64"/>
        <v>5.3457895888013973E-2</v>
      </c>
      <c r="B381" s="298">
        <f t="shared" si="65"/>
        <v>2.4250820000000002</v>
      </c>
      <c r="C381" s="298">
        <f t="shared" si="66"/>
        <v>9.2721908888943605E-2</v>
      </c>
      <c r="D381" s="298">
        <f t="shared" si="58"/>
        <v>-7.170326125813269E-3</v>
      </c>
      <c r="E381" s="290">
        <f t="shared" si="59"/>
        <v>-0.12963978107589672</v>
      </c>
      <c r="F381" s="290">
        <f t="shared" si="60"/>
        <v>4.956718151923065E-3</v>
      </c>
      <c r="G381" s="298">
        <v>0</v>
      </c>
      <c r="H381" s="298"/>
      <c r="I381" s="298">
        <f t="shared" si="53"/>
        <v>1.8777407960130313E-14</v>
      </c>
      <c r="J381" s="298">
        <f t="shared" si="52"/>
        <v>5.3457895888013973E-2</v>
      </c>
      <c r="K381" s="299">
        <f t="shared" si="72"/>
        <v>-1.6651946328930318</v>
      </c>
      <c r="L381" s="300">
        <f t="shared" si="73"/>
        <v>-0.44059854426586886</v>
      </c>
      <c r="M381" s="301">
        <f t="shared" si="70"/>
        <v>-3.1912556717404927E-3</v>
      </c>
      <c r="N381" s="139"/>
      <c r="O381" s="266"/>
      <c r="P381" s="265"/>
      <c r="Q381" s="139"/>
      <c r="R381" s="138"/>
      <c r="S381" s="137"/>
      <c r="T381" s="137"/>
      <c r="U381" s="137"/>
    </row>
    <row r="382" spans="1:21" s="89" customFormat="1" x14ac:dyDescent="0.25">
      <c r="A382" s="297">
        <f t="shared" si="64"/>
        <v>5.3457895888013973E-2</v>
      </c>
      <c r="B382" s="298">
        <f t="shared" si="65"/>
        <v>2.4250820000000002</v>
      </c>
      <c r="C382" s="298">
        <f t="shared" si="66"/>
        <v>9.2721908888943605E-2</v>
      </c>
      <c r="D382" s="298">
        <f t="shared" si="58"/>
        <v>-7.170326125813269E-3</v>
      </c>
      <c r="E382" s="290">
        <f t="shared" si="59"/>
        <v>-0.12963978107589672</v>
      </c>
      <c r="F382" s="290">
        <f t="shared" si="60"/>
        <v>4.956718151923065E-3</v>
      </c>
      <c r="G382" s="298">
        <v>0</v>
      </c>
      <c r="H382" s="298"/>
      <c r="I382" s="298">
        <f t="shared" si="53"/>
        <v>1.8777407960130313E-14</v>
      </c>
      <c r="J382" s="298">
        <f t="shared" si="52"/>
        <v>5.3457895888013973E-2</v>
      </c>
      <c r="K382" s="299">
        <f t="shared" si="72"/>
        <v>-2.4977919493395477</v>
      </c>
      <c r="L382" s="300">
        <f t="shared" si="73"/>
        <v>-0.44059854426586886</v>
      </c>
      <c r="M382" s="301">
        <f t="shared" si="70"/>
        <v>-4.7911857495425208E-3</v>
      </c>
      <c r="N382" s="139"/>
      <c r="O382" s="266"/>
      <c r="P382" s="265"/>
      <c r="Q382" s="139"/>
      <c r="R382" s="138"/>
      <c r="S382" s="137"/>
      <c r="T382" s="137"/>
      <c r="U382" s="137"/>
    </row>
    <row r="383" spans="1:21" s="89" customFormat="1" x14ac:dyDescent="0.25">
      <c r="A383" s="297">
        <f t="shared" si="64"/>
        <v>5.3457895888013973E-2</v>
      </c>
      <c r="B383" s="298">
        <f t="shared" si="65"/>
        <v>2.4250820000000002</v>
      </c>
      <c r="C383" s="298">
        <f t="shared" si="66"/>
        <v>9.2721908888943605E-2</v>
      </c>
      <c r="D383" s="298">
        <f t="shared" si="58"/>
        <v>-7.170326125813269E-3</v>
      </c>
      <c r="E383" s="290">
        <f t="shared" si="59"/>
        <v>-0.12963978107589672</v>
      </c>
      <c r="F383" s="290">
        <f t="shared" si="60"/>
        <v>4.956718151923065E-3</v>
      </c>
      <c r="G383" s="298">
        <v>0</v>
      </c>
      <c r="H383" s="298"/>
      <c r="I383" s="298">
        <f t="shared" si="53"/>
        <v>1.8777407960130313E-14</v>
      </c>
      <c r="J383" s="298">
        <f t="shared" si="52"/>
        <v>5.3457895888013973E-2</v>
      </c>
      <c r="K383" s="299">
        <f t="shared" si="72"/>
        <v>-3.3303892657860636</v>
      </c>
      <c r="L383" s="300">
        <f t="shared" si="73"/>
        <v>-0.44059854426586886</v>
      </c>
      <c r="M383" s="301">
        <f t="shared" si="70"/>
        <v>-6.3911158273445481E-3</v>
      </c>
      <c r="N383" s="139"/>
      <c r="O383" s="266"/>
      <c r="P383" s="265"/>
      <c r="Q383" s="139"/>
      <c r="R383" s="138"/>
      <c r="S383" s="137"/>
      <c r="T383" s="137"/>
      <c r="U383" s="137"/>
    </row>
    <row r="384" spans="1:21" s="89" customFormat="1" x14ac:dyDescent="0.25">
      <c r="A384" s="297">
        <f t="shared" si="64"/>
        <v>5.3457895888013973E-2</v>
      </c>
      <c r="B384" s="298">
        <f t="shared" si="65"/>
        <v>2.4250820000000002</v>
      </c>
      <c r="C384" s="298">
        <f t="shared" si="66"/>
        <v>9.2721908888943605E-2</v>
      </c>
      <c r="D384" s="298">
        <f t="shared" si="58"/>
        <v>-7.170326125813269E-3</v>
      </c>
      <c r="E384" s="290">
        <f t="shared" si="59"/>
        <v>-0.12963978107589672</v>
      </c>
      <c r="F384" s="290">
        <f t="shared" si="60"/>
        <v>4.956718151923065E-3</v>
      </c>
      <c r="G384" s="298">
        <v>0</v>
      </c>
      <c r="H384" s="298"/>
      <c r="I384" s="298">
        <f t="shared" si="53"/>
        <v>1.8777407960130313E-14</v>
      </c>
      <c r="J384" s="298">
        <f t="shared" si="52"/>
        <v>5.3457895888013973E-2</v>
      </c>
      <c r="K384" s="299">
        <f t="shared" si="72"/>
        <v>-4.1629865822325796</v>
      </c>
      <c r="L384" s="300">
        <f t="shared" si="73"/>
        <v>-0.44059854426586886</v>
      </c>
      <c r="M384" s="301">
        <f t="shared" si="70"/>
        <v>-7.9910459051465762E-3</v>
      </c>
      <c r="N384" s="139"/>
      <c r="O384" s="266"/>
      <c r="P384" s="265"/>
      <c r="Q384" s="139"/>
      <c r="R384" s="138"/>
      <c r="S384" s="137"/>
      <c r="T384" s="137"/>
      <c r="U384" s="137"/>
    </row>
    <row r="385" spans="1:21" s="89" customFormat="1" x14ac:dyDescent="0.25">
      <c r="A385" s="297">
        <f t="shared" si="64"/>
        <v>5.3457895888013973E-2</v>
      </c>
      <c r="B385" s="298">
        <f t="shared" si="65"/>
        <v>2.4250820000000002</v>
      </c>
      <c r="C385" s="298">
        <f t="shared" si="66"/>
        <v>9.2721908888943605E-2</v>
      </c>
      <c r="D385" s="298">
        <f t="shared" si="58"/>
        <v>-7.170326125813269E-3</v>
      </c>
      <c r="E385" s="290">
        <f t="shared" si="59"/>
        <v>-0.12963978107589672</v>
      </c>
      <c r="F385" s="290">
        <f t="shared" si="60"/>
        <v>4.956718151923065E-3</v>
      </c>
      <c r="G385" s="298">
        <v>0</v>
      </c>
      <c r="H385" s="298"/>
      <c r="I385" s="298">
        <f t="shared" si="53"/>
        <v>1.8777407960130313E-14</v>
      </c>
      <c r="J385" s="298">
        <f t="shared" si="52"/>
        <v>5.3457895888013973E-2</v>
      </c>
      <c r="K385" s="299">
        <f>K386-$K$386/7</f>
        <v>-4.9955838986790955</v>
      </c>
      <c r="L385" s="300">
        <f t="shared" si="73"/>
        <v>-0.44059854426586886</v>
      </c>
      <c r="M385" s="301">
        <f t="shared" si="70"/>
        <v>-9.5909759829486043E-3</v>
      </c>
      <c r="N385" s="139"/>
      <c r="O385" s="266"/>
      <c r="P385" s="265"/>
      <c r="Q385" s="139"/>
      <c r="R385" s="138"/>
      <c r="S385" s="137"/>
      <c r="T385" s="137"/>
      <c r="U385" s="137"/>
    </row>
    <row r="386" spans="1:21" s="89" customFormat="1" x14ac:dyDescent="0.25">
      <c r="A386" s="302">
        <f t="shared" si="64"/>
        <v>5.3457895888013973E-2</v>
      </c>
      <c r="B386" s="303">
        <f t="shared" si="65"/>
        <v>2.4250820000000002</v>
      </c>
      <c r="C386" s="303">
        <f t="shared" si="66"/>
        <v>9.2721908888943605E-2</v>
      </c>
      <c r="D386" s="303">
        <f t="shared" si="58"/>
        <v>-7.170326125813269E-3</v>
      </c>
      <c r="E386" s="304">
        <f t="shared" si="59"/>
        <v>-0.12963978107589672</v>
      </c>
      <c r="F386" s="304">
        <f t="shared" si="60"/>
        <v>4.956718151923065E-3</v>
      </c>
      <c r="G386" s="303">
        <v>0</v>
      </c>
      <c r="H386" s="303"/>
      <c r="I386" s="303">
        <f t="shared" si="53"/>
        <v>1.8777407960130313E-14</v>
      </c>
      <c r="J386" s="303">
        <f t="shared" si="52"/>
        <v>5.3457895888013973E-2</v>
      </c>
      <c r="K386" s="305">
        <f>MIN($N$106:$N$138)-$H$640</f>
        <v>-5.8281812151256114</v>
      </c>
      <c r="L386" s="306">
        <f t="shared" si="73"/>
        <v>-0.44059854426586886</v>
      </c>
      <c r="M386" s="307">
        <f t="shared" si="70"/>
        <v>-1.1190906060750632E-2</v>
      </c>
      <c r="N386" s="139"/>
      <c r="O386" s="266"/>
      <c r="P386" s="265"/>
      <c r="Q386" s="139"/>
      <c r="R386" s="138"/>
      <c r="S386" s="137"/>
      <c r="T386" s="137"/>
      <c r="U386" s="137"/>
    </row>
    <row r="387" spans="1:21" s="89" customFormat="1" x14ac:dyDescent="0.25">
      <c r="A387" s="73"/>
      <c r="B387" s="73"/>
      <c r="C387" s="73"/>
      <c r="D387" s="73"/>
      <c r="E387" s="136"/>
      <c r="F387" s="136"/>
      <c r="G387" s="239"/>
      <c r="H387" s="239"/>
      <c r="I387" s="239"/>
      <c r="J387" s="239"/>
      <c r="K387" s="240"/>
      <c r="L387" s="241"/>
      <c r="M387" s="42"/>
      <c r="N387" s="139"/>
      <c r="O387" s="139"/>
      <c r="P387" s="139"/>
      <c r="Q387" s="139"/>
      <c r="R387" s="138"/>
      <c r="S387" s="137"/>
      <c r="T387" s="137"/>
      <c r="U387" s="137"/>
    </row>
    <row r="388" spans="1:21" s="89" customFormat="1" x14ac:dyDescent="0.25">
      <c r="A388" s="73" t="s">
        <v>2101</v>
      </c>
      <c r="B388" s="73" t="s">
        <v>2080</v>
      </c>
      <c r="C388" s="73"/>
      <c r="D388" s="73"/>
      <c r="E388" s="136"/>
      <c r="F388" s="136" t="s">
        <v>2086</v>
      </c>
      <c r="G388" s="239" t="s">
        <v>2087</v>
      </c>
      <c r="H388" s="239"/>
      <c r="I388" s="239"/>
      <c r="J388" s="136" t="s">
        <v>2086</v>
      </c>
      <c r="K388" s="239" t="s">
        <v>2087</v>
      </c>
      <c r="L388" s="241"/>
      <c r="M388" s="42"/>
      <c r="N388" s="139"/>
      <c r="O388" s="139"/>
      <c r="P388" s="139"/>
      <c r="Q388" s="139"/>
      <c r="R388" s="138"/>
      <c r="S388" s="137"/>
      <c r="T388" s="137"/>
      <c r="U388" s="137"/>
    </row>
    <row r="389" spans="1:21" s="89" customFormat="1" x14ac:dyDescent="0.25">
      <c r="A389" s="73"/>
      <c r="B389" s="73">
        <f>(N192*10^3)/MAX(M356:M369)</f>
        <v>103205.01517403088</v>
      </c>
      <c r="C389" s="73" t="s">
        <v>2081</v>
      </c>
      <c r="D389" s="73" t="str">
        <f>S210</f>
        <v>2.5 g loads</v>
      </c>
      <c r="E389" s="136"/>
      <c r="F389" s="136">
        <f>C173/MAX(M370:M386)</f>
        <v>4648739.0335390242</v>
      </c>
      <c r="G389" s="239" t="s">
        <v>2081</v>
      </c>
      <c r="H389" s="239" t="str">
        <f>S210</f>
        <v>2.5 g loads</v>
      </c>
      <c r="I389" s="239"/>
      <c r="J389" s="239">
        <f>ABS(C179/MIN(M370:M386))</f>
        <v>4020.9740107179623</v>
      </c>
      <c r="K389" s="240"/>
      <c r="L389" s="241"/>
      <c r="M389" s="42"/>
      <c r="N389" s="139"/>
      <c r="O389" s="139"/>
      <c r="P389" s="139"/>
      <c r="Q389" s="139"/>
      <c r="R389" s="138"/>
      <c r="S389" s="137"/>
      <c r="T389" s="137"/>
      <c r="U389" s="137"/>
    </row>
    <row r="390" spans="1:21" s="89" customFormat="1" x14ac:dyDescent="0.25">
      <c r="A390" s="73"/>
      <c r="B390" s="73"/>
      <c r="C390" s="73"/>
      <c r="D390" s="73"/>
      <c r="E390" s="136"/>
      <c r="F390" s="136"/>
      <c r="G390" s="239"/>
      <c r="H390" s="239"/>
      <c r="I390" s="239"/>
      <c r="J390" s="239"/>
      <c r="K390" s="240"/>
      <c r="L390" s="241"/>
      <c r="M390" s="42"/>
      <c r="N390" s="139"/>
      <c r="O390" s="139"/>
      <c r="P390" s="139"/>
      <c r="Q390" s="139"/>
      <c r="R390" s="138"/>
      <c r="S390" s="137"/>
      <c r="T390" s="137"/>
      <c r="U390" s="137"/>
    </row>
    <row r="391" spans="1:21" s="89" customFormat="1" x14ac:dyDescent="0.25">
      <c r="A391" s="73"/>
      <c r="B391" s="73"/>
      <c r="C391" s="73"/>
      <c r="D391" s="73"/>
      <c r="E391" s="136"/>
      <c r="F391" s="136"/>
      <c r="G391" s="239"/>
      <c r="H391" s="239"/>
      <c r="I391" s="239"/>
      <c r="J391" s="239"/>
      <c r="K391" s="240"/>
      <c r="L391" s="241"/>
      <c r="M391" s="42"/>
      <c r="N391" s="139"/>
      <c r="O391" s="139"/>
      <c r="P391" s="139"/>
      <c r="Q391" s="139"/>
      <c r="R391" s="138"/>
      <c r="S391" s="137"/>
      <c r="T391" s="137"/>
      <c r="U391" s="137"/>
    </row>
    <row r="392" spans="1:21" s="89" customFormat="1" ht="15.75" thickBot="1" x14ac:dyDescent="0.3">
      <c r="A392" s="140"/>
      <c r="B392" s="19"/>
      <c r="C392" s="19"/>
      <c r="D392" s="139"/>
      <c r="E392" s="139"/>
      <c r="M392" s="139"/>
      <c r="N392" s="139"/>
      <c r="O392" s="139"/>
      <c r="P392" s="139"/>
      <c r="Q392" s="139"/>
      <c r="R392" s="138"/>
      <c r="S392" s="137"/>
      <c r="T392" s="137"/>
      <c r="U392" s="137"/>
    </row>
    <row r="393" spans="1:21" s="193" customFormat="1" x14ac:dyDescent="0.25">
      <c r="A393" s="179" t="s">
        <v>1907</v>
      </c>
      <c r="B393" s="180"/>
      <c r="C393" s="180"/>
      <c r="D393" s="180"/>
      <c r="E393" s="237"/>
      <c r="M393" s="199"/>
      <c r="N393" s="199"/>
      <c r="O393" s="199"/>
      <c r="P393" s="199"/>
      <c r="Q393" s="199"/>
      <c r="R393" s="200"/>
      <c r="S393" s="201"/>
      <c r="T393" s="201"/>
      <c r="U393" s="201"/>
    </row>
    <row r="394" spans="1:21" s="89" customFormat="1" x14ac:dyDescent="0.25">
      <c r="A394" t="str">
        <f>H537</f>
        <v>Ai</v>
      </c>
      <c r="B394" s="90">
        <f>H538</f>
        <v>3.1064068158695876E-2</v>
      </c>
      <c r="C394"/>
      <c r="D394" s="136"/>
      <c r="E394" s="136"/>
      <c r="M394" s="139"/>
      <c r="N394" s="139"/>
      <c r="O394" s="139"/>
      <c r="P394" s="139"/>
      <c r="Q394" s="139"/>
      <c r="R394" s="138"/>
      <c r="S394" s="137"/>
      <c r="T394" s="137"/>
      <c r="U394" s="137"/>
    </row>
    <row r="395" spans="1:21" s="89" customFormat="1" x14ac:dyDescent="0.25">
      <c r="A395" t="s">
        <v>1906</v>
      </c>
      <c r="B395" s="73">
        <f>MIN(M356:M369)</f>
        <v>-1.0251306930005728</v>
      </c>
      <c r="C395"/>
      <c r="D395" s="136"/>
      <c r="E395" s="136" t="s">
        <v>2104</v>
      </c>
      <c r="M395" s="139"/>
      <c r="N395" s="139"/>
      <c r="O395" s="139"/>
      <c r="P395" s="139"/>
      <c r="Q395" s="139"/>
      <c r="R395" s="138"/>
      <c r="S395" s="137"/>
      <c r="T395" s="137"/>
      <c r="U395" s="137"/>
    </row>
    <row r="396" spans="1:21" s="89" customFormat="1" x14ac:dyDescent="0.25">
      <c r="A396" t="s">
        <v>1905</v>
      </c>
      <c r="B396">
        <f>B394*B395</f>
        <v>-3.184472971894093E-2</v>
      </c>
      <c r="C396" t="s">
        <v>1904</v>
      </c>
      <c r="D396" s="97">
        <f>SUM(M538)</f>
        <v>1.737258011775067E-4</v>
      </c>
      <c r="E396" s="97">
        <f>PI()*(AB113^4-AB114^4)/64</f>
        <v>1.737258011775067E-4</v>
      </c>
      <c r="M396" s="139"/>
      <c r="N396" s="139"/>
      <c r="O396" s="139"/>
      <c r="P396" s="139"/>
      <c r="Q396" s="139"/>
      <c r="R396" s="138"/>
      <c r="S396" s="137"/>
      <c r="T396" s="137"/>
      <c r="U396" s="137"/>
    </row>
    <row r="397" spans="1:21" s="89" customFormat="1" x14ac:dyDescent="0.25">
      <c r="A397" t="s">
        <v>2105</v>
      </c>
      <c r="B397">
        <f>SQRT(((PI()^2)*C538*D396/(4*ABS(B396))))</f>
        <v>512.33091254951694</v>
      </c>
      <c r="C397"/>
      <c r="D397" s="136"/>
      <c r="E397" s="136"/>
      <c r="M397" s="139"/>
      <c r="N397" s="139"/>
      <c r="O397" s="139"/>
      <c r="P397" s="139"/>
      <c r="Q397" s="139"/>
      <c r="R397" s="138"/>
      <c r="S397" s="137"/>
      <c r="T397" s="137"/>
      <c r="U397" s="137"/>
    </row>
    <row r="398" spans="1:21" s="89" customFormat="1" x14ac:dyDescent="0.25">
      <c r="A398"/>
      <c r="B398" t="s">
        <v>1903</v>
      </c>
      <c r="C398"/>
      <c r="D398" s="136" t="s">
        <v>1902</v>
      </c>
      <c r="E398" s="136"/>
      <c r="M398" s="139"/>
      <c r="N398" s="139"/>
      <c r="O398" s="139"/>
      <c r="P398" s="139"/>
      <c r="Q398" s="139"/>
      <c r="R398" s="138"/>
      <c r="S398" s="137"/>
      <c r="T398" s="137"/>
      <c r="U398" s="137"/>
    </row>
    <row r="399" spans="1:21" s="89" customFormat="1" x14ac:dyDescent="0.25">
      <c r="A399" t="s">
        <v>1901</v>
      </c>
      <c r="B399">
        <f>(C100/(B397*2))</f>
        <v>1.0434251492261313E-4</v>
      </c>
      <c r="C399"/>
      <c r="D399" s="136">
        <f>7/B397</f>
        <v>1.3663044388959154E-2</v>
      </c>
      <c r="E399" s="136"/>
      <c r="M399" s="139"/>
      <c r="N399" s="139"/>
      <c r="O399" s="139"/>
      <c r="P399" s="139"/>
      <c r="Q399" s="139"/>
      <c r="R399" s="138"/>
      <c r="S399" s="137"/>
      <c r="T399" s="137"/>
      <c r="U399" s="137"/>
    </row>
    <row r="400" spans="1:21" s="89" customFormat="1" x14ac:dyDescent="0.25">
      <c r="A400" t="s">
        <v>1900</v>
      </c>
      <c r="B400">
        <f>ROUND(B399,0)</f>
        <v>0</v>
      </c>
      <c r="C400"/>
      <c r="D400" s="136">
        <f>ROUND(D399,0)</f>
        <v>0</v>
      </c>
      <c r="E400" s="136"/>
      <c r="F400" s="89">
        <f>$AB$113</f>
        <v>0.254</v>
      </c>
      <c r="G400" s="317">
        <f>F400/2</f>
        <v>0.127</v>
      </c>
      <c r="M400" s="139"/>
      <c r="N400" s="139"/>
      <c r="O400" s="139"/>
      <c r="P400" s="139"/>
      <c r="Q400" s="139"/>
      <c r="R400" s="138"/>
      <c r="S400" s="137"/>
      <c r="T400" s="137"/>
      <c r="U400" s="137"/>
    </row>
    <row r="401" spans="1:21" s="89" customFormat="1" x14ac:dyDescent="0.25">
      <c r="A401"/>
      <c r="B401"/>
      <c r="C401"/>
      <c r="D401" s="136"/>
      <c r="E401" s="136"/>
      <c r="M401" s="139"/>
      <c r="N401" s="139"/>
      <c r="O401" s="139"/>
      <c r="P401" s="139"/>
      <c r="Q401" s="139"/>
      <c r="R401" s="138"/>
      <c r="S401" s="137"/>
      <c r="T401" s="137"/>
      <c r="U401" s="137"/>
    </row>
    <row r="402" spans="1:21" s="89" customFormat="1" x14ac:dyDescent="0.25">
      <c r="A402" t="s">
        <v>2103</v>
      </c>
      <c r="B402"/>
      <c r="C402"/>
      <c r="D402" s="136"/>
      <c r="E402" s="136"/>
      <c r="M402" s="139"/>
      <c r="N402" s="139"/>
      <c r="O402" s="139"/>
      <c r="P402" s="139"/>
      <c r="Q402" s="139"/>
      <c r="R402" s="138"/>
      <c r="S402" s="137"/>
      <c r="T402" s="137"/>
      <c r="U402" s="137"/>
    </row>
    <row r="403" spans="1:21" s="89" customFormat="1" x14ac:dyDescent="0.25">
      <c r="A403" s="314" t="s">
        <v>1917</v>
      </c>
      <c r="B403" s="7" t="s">
        <v>1913</v>
      </c>
      <c r="C403" s="136" t="s">
        <v>1912</v>
      </c>
      <c r="D403" t="s">
        <v>1837</v>
      </c>
      <c r="E403" s="136" t="s">
        <v>1838</v>
      </c>
      <c r="F403" s="136" t="s">
        <v>1864</v>
      </c>
      <c r="G403" s="139" t="s">
        <v>2102</v>
      </c>
      <c r="H403" s="139" t="s">
        <v>1893</v>
      </c>
      <c r="I403" s="139" t="s">
        <v>2107</v>
      </c>
      <c r="J403" s="139" t="s">
        <v>2106</v>
      </c>
      <c r="M403" s="139"/>
      <c r="N403" s="139"/>
      <c r="O403" s="139"/>
      <c r="P403" s="139"/>
      <c r="Q403" s="139"/>
      <c r="R403" s="138"/>
      <c r="S403" s="137"/>
      <c r="T403" s="137"/>
      <c r="U403" s="137"/>
    </row>
    <row r="404" spans="1:21" s="89" customFormat="1" x14ac:dyDescent="0.25">
      <c r="A404" s="315">
        <f>$C$100/2</f>
        <v>5.3457895888013973E-2</v>
      </c>
      <c r="B404" s="319">
        <f>$B$309*A404</f>
        <v>-0.12963978107589672</v>
      </c>
      <c r="C404" s="139">
        <f>$B$302*A404</f>
        <v>4.956718151923065E-3</v>
      </c>
      <c r="D404" s="73">
        <f t="shared" ref="D404:D440" si="74">A404</f>
        <v>5.3457895888013973E-2</v>
      </c>
      <c r="E404" s="159">
        <f>$K$368-($AB$113/(2*6))</f>
        <v>-9.4211376260659785E-2</v>
      </c>
      <c r="F404" s="136">
        <f>$F$538-$H$638</f>
        <v>-1.8383725326735672</v>
      </c>
      <c r="G404" s="89">
        <f>-E404*$E$538*(B404*$P$320+C404*$P$322)/($P$323)+F404*$E$538*(C404*$P$321+B404*$P$322)/($P$323)</f>
        <v>-1.0251306930005728</v>
      </c>
      <c r="H404" s="318">
        <f>$H$538</f>
        <v>3.1064068158695876E-2</v>
      </c>
      <c r="I404" s="89">
        <f>G404*H404</f>
        <v>-3.184472971894093E-2</v>
      </c>
      <c r="J404" s="316">
        <f>$A$404-A404</f>
        <v>0</v>
      </c>
      <c r="K404" s="89">
        <f>SQRT(((PI()^2)*$C$538*$D$396/(4*ABS(I404))))</f>
        <v>512.33091254951694</v>
      </c>
      <c r="M404" s="139"/>
      <c r="N404" s="139"/>
      <c r="O404" s="139"/>
      <c r="P404" s="139"/>
      <c r="Q404" s="139"/>
      <c r="R404" s="138"/>
      <c r="S404" s="137"/>
      <c r="T404" s="137"/>
      <c r="U404" s="137"/>
    </row>
    <row r="405" spans="1:21" s="89" customFormat="1" x14ac:dyDescent="0.25">
      <c r="A405" s="315">
        <f t="shared" ref="A405:A439" si="75">A404-1</f>
        <v>-0.94654210411198603</v>
      </c>
      <c r="B405" s="319">
        <f t="shared" ref="B405:B440" si="76">$B$309*A405</f>
        <v>2.2954422189241033</v>
      </c>
      <c r="C405" s="139">
        <f t="shared" ref="C405:C440" si="77">$B$302*A405</f>
        <v>-8.7765190737020535E-2</v>
      </c>
      <c r="D405" s="73">
        <f t="shared" si="74"/>
        <v>-0.94654210411198603</v>
      </c>
      <c r="E405" s="159">
        <f t="shared" ref="E405:E440" si="78">$K$368-($AB$113/(2*6))</f>
        <v>-9.4211376260659785E-2</v>
      </c>
      <c r="F405" s="136">
        <f t="shared" ref="F405:F440" si="79">$F$538-$H$638</f>
        <v>-1.8383725326735672</v>
      </c>
      <c r="G405" s="89">
        <f t="shared" ref="G405:G440" si="80">-E405*$E$538*(B405*$P$320+C405*$P$322)/($P$323)+F405*$E$538*(C405*$P$321+B405*$P$322)/($P$323)</f>
        <v>18.151282369497498</v>
      </c>
      <c r="H405" s="318">
        <f t="shared" ref="H405:H440" si="81">$H$538</f>
        <v>3.1064068158695876E-2</v>
      </c>
      <c r="I405" s="89">
        <f t="shared" ref="I405:I440" si="82">G405*H405</f>
        <v>0.56385267269380501</v>
      </c>
      <c r="J405" s="316">
        <f>$A$404-A405</f>
        <v>1</v>
      </c>
      <c r="K405" s="89">
        <f t="shared" ref="K405:K440" si="83">SQRT(((PI()^2)*$C$538*$D$396/(4*ABS(I405))))</f>
        <v>121.75492083301367</v>
      </c>
      <c r="M405" s="139"/>
      <c r="N405" s="139"/>
      <c r="O405" s="139"/>
      <c r="P405" s="139"/>
      <c r="Q405" s="139"/>
      <c r="R405" s="138"/>
      <c r="S405" s="137"/>
      <c r="T405" s="137"/>
      <c r="U405" s="137"/>
    </row>
    <row r="406" spans="1:21" s="89" customFormat="1" x14ac:dyDescent="0.25">
      <c r="A406" s="315">
        <f t="shared" si="75"/>
        <v>-1.9465421041119861</v>
      </c>
      <c r="B406" s="319">
        <f t="shared" si="76"/>
        <v>4.7205242189241039</v>
      </c>
      <c r="C406" s="139">
        <f t="shared" si="77"/>
        <v>-0.18048709962596415</v>
      </c>
      <c r="D406" s="73">
        <f t="shared" si="74"/>
        <v>-1.9465421041119861</v>
      </c>
      <c r="E406" s="159">
        <f t="shared" si="78"/>
        <v>-9.4211376260659785E-2</v>
      </c>
      <c r="F406" s="136">
        <f t="shared" si="79"/>
        <v>-1.8383725326735672</v>
      </c>
      <c r="G406" s="89">
        <f t="shared" si="80"/>
        <v>37.327695431995572</v>
      </c>
      <c r="H406" s="318">
        <f t="shared" si="81"/>
        <v>3.1064068158695876E-2</v>
      </c>
      <c r="I406" s="89">
        <f t="shared" si="82"/>
        <v>1.1595500751065511</v>
      </c>
      <c r="J406" s="316">
        <f t="shared" ref="J406:J424" si="84">$A$404-A406</f>
        <v>2</v>
      </c>
      <c r="K406" s="89">
        <f t="shared" si="83"/>
        <v>84.903303814897939</v>
      </c>
      <c r="M406" s="139"/>
      <c r="N406" s="139"/>
      <c r="O406" s="139"/>
      <c r="P406" s="139"/>
      <c r="Q406" s="139"/>
      <c r="R406" s="138"/>
      <c r="S406" s="137"/>
      <c r="T406" s="137"/>
      <c r="U406" s="137"/>
    </row>
    <row r="407" spans="1:21" s="89" customFormat="1" x14ac:dyDescent="0.25">
      <c r="A407" s="315">
        <f t="shared" si="75"/>
        <v>-2.9465421041119861</v>
      </c>
      <c r="B407" s="319">
        <f t="shared" si="76"/>
        <v>7.1456062189241045</v>
      </c>
      <c r="C407" s="139">
        <f t="shared" si="77"/>
        <v>-0.27320900851490776</v>
      </c>
      <c r="D407" s="73">
        <f t="shared" si="74"/>
        <v>-2.9465421041119861</v>
      </c>
      <c r="E407" s="159">
        <f t="shared" si="78"/>
        <v>-9.4211376260659785E-2</v>
      </c>
      <c r="F407" s="136">
        <f t="shared" si="79"/>
        <v>-1.8383725326735672</v>
      </c>
      <c r="G407" s="89">
        <f t="shared" si="80"/>
        <v>56.50410849449365</v>
      </c>
      <c r="H407" s="318">
        <f t="shared" si="81"/>
        <v>3.1064068158695876E-2</v>
      </c>
      <c r="I407" s="89">
        <f t="shared" si="82"/>
        <v>1.7552474775192974</v>
      </c>
      <c r="J407" s="316">
        <f t="shared" si="84"/>
        <v>3</v>
      </c>
      <c r="K407" s="89">
        <f t="shared" si="83"/>
        <v>69.008115156387177</v>
      </c>
      <c r="M407" s="139"/>
      <c r="N407" s="139"/>
      <c r="O407" s="139"/>
      <c r="P407" s="139"/>
      <c r="Q407" s="139"/>
      <c r="R407" s="138"/>
      <c r="S407" s="137"/>
      <c r="T407" s="137"/>
      <c r="U407" s="137"/>
    </row>
    <row r="408" spans="1:21" s="89" customFormat="1" x14ac:dyDescent="0.25">
      <c r="A408" s="315">
        <f t="shared" si="75"/>
        <v>-3.9465421041119861</v>
      </c>
      <c r="B408" s="319">
        <f t="shared" si="76"/>
        <v>9.5706882189241043</v>
      </c>
      <c r="C408" s="139">
        <f t="shared" si="77"/>
        <v>-0.36593091740385136</v>
      </c>
      <c r="D408" s="73">
        <f t="shared" si="74"/>
        <v>-3.9465421041119861</v>
      </c>
      <c r="E408" s="159">
        <f t="shared" si="78"/>
        <v>-9.4211376260659785E-2</v>
      </c>
      <c r="F408" s="136">
        <f t="shared" si="79"/>
        <v>-1.8383725326735672</v>
      </c>
      <c r="G408" s="89">
        <f t="shared" si="80"/>
        <v>75.680521556991707</v>
      </c>
      <c r="H408" s="318">
        <f t="shared" si="81"/>
        <v>3.1064068158695876E-2</v>
      </c>
      <c r="I408" s="89">
        <f t="shared" si="82"/>
        <v>2.3509448799320429</v>
      </c>
      <c r="J408" s="316">
        <f t="shared" si="84"/>
        <v>4</v>
      </c>
      <c r="K408" s="89">
        <f t="shared" si="83"/>
        <v>59.627708669255973</v>
      </c>
      <c r="M408" s="139"/>
      <c r="N408" s="139"/>
      <c r="O408" s="139"/>
      <c r="P408" s="139"/>
      <c r="Q408" s="139"/>
      <c r="R408" s="138"/>
      <c r="S408" s="137"/>
      <c r="T408" s="137"/>
      <c r="U408" s="137"/>
    </row>
    <row r="409" spans="1:21" s="89" customFormat="1" x14ac:dyDescent="0.25">
      <c r="A409" s="315">
        <f t="shared" si="75"/>
        <v>-4.9465421041119857</v>
      </c>
      <c r="B409" s="319">
        <f t="shared" si="76"/>
        <v>11.995770218924104</v>
      </c>
      <c r="C409" s="139">
        <f t="shared" si="77"/>
        <v>-0.45865282629279491</v>
      </c>
      <c r="D409" s="73">
        <f t="shared" si="74"/>
        <v>-4.9465421041119857</v>
      </c>
      <c r="E409" s="159">
        <f t="shared" si="78"/>
        <v>-9.4211376260659785E-2</v>
      </c>
      <c r="F409" s="136">
        <f t="shared" si="79"/>
        <v>-1.8383725326735672</v>
      </c>
      <c r="G409" s="89">
        <f t="shared" si="80"/>
        <v>94.856934619489778</v>
      </c>
      <c r="H409" s="318">
        <f t="shared" si="81"/>
        <v>3.1064068158695876E-2</v>
      </c>
      <c r="I409" s="89">
        <f t="shared" si="82"/>
        <v>2.9466422823447891</v>
      </c>
      <c r="J409" s="316">
        <f t="shared" si="84"/>
        <v>5</v>
      </c>
      <c r="K409" s="89">
        <f t="shared" si="83"/>
        <v>53.260548676669551</v>
      </c>
      <c r="M409" s="139"/>
      <c r="N409" s="139"/>
      <c r="O409" s="139"/>
      <c r="P409" s="139"/>
      <c r="Q409" s="139"/>
      <c r="R409" s="138"/>
      <c r="S409" s="137"/>
      <c r="T409" s="137"/>
      <c r="U409" s="137"/>
    </row>
    <row r="410" spans="1:21" s="89" customFormat="1" x14ac:dyDescent="0.25">
      <c r="A410" s="315">
        <f t="shared" si="75"/>
        <v>-5.9465421041119857</v>
      </c>
      <c r="B410" s="319">
        <f t="shared" si="76"/>
        <v>14.420852218924104</v>
      </c>
      <c r="C410" s="139">
        <f t="shared" si="77"/>
        <v>-0.55137473518173852</v>
      </c>
      <c r="D410" s="73">
        <f t="shared" si="74"/>
        <v>-5.9465421041119857</v>
      </c>
      <c r="E410" s="159">
        <f t="shared" si="78"/>
        <v>-9.4211376260659785E-2</v>
      </c>
      <c r="F410" s="136">
        <f t="shared" si="79"/>
        <v>-1.8383725326735672</v>
      </c>
      <c r="G410" s="89">
        <f t="shared" si="80"/>
        <v>114.03334768198786</v>
      </c>
      <c r="H410" s="318">
        <f t="shared" si="81"/>
        <v>3.1064068158695876E-2</v>
      </c>
      <c r="I410" s="89">
        <f t="shared" si="82"/>
        <v>3.5423396847575352</v>
      </c>
      <c r="J410" s="316">
        <f t="shared" si="84"/>
        <v>6</v>
      </c>
      <c r="K410" s="89">
        <f t="shared" si="83"/>
        <v>48.576278749865303</v>
      </c>
      <c r="M410" s="139"/>
      <c r="N410" s="139"/>
      <c r="O410" s="139"/>
      <c r="P410" s="139"/>
      <c r="Q410" s="139"/>
      <c r="R410" s="138"/>
      <c r="S410" s="137"/>
      <c r="T410" s="137"/>
      <c r="U410" s="137"/>
    </row>
    <row r="411" spans="1:21" s="89" customFormat="1" x14ac:dyDescent="0.25">
      <c r="A411" s="315">
        <f t="shared" si="75"/>
        <v>-6.9465421041119857</v>
      </c>
      <c r="B411" s="319">
        <f t="shared" si="76"/>
        <v>16.845934218924103</v>
      </c>
      <c r="C411" s="139">
        <f t="shared" si="77"/>
        <v>-0.64409664407068212</v>
      </c>
      <c r="D411" s="73">
        <f t="shared" si="74"/>
        <v>-6.9465421041119857</v>
      </c>
      <c r="E411" s="159">
        <f t="shared" si="78"/>
        <v>-9.4211376260659785E-2</v>
      </c>
      <c r="F411" s="136">
        <f t="shared" si="79"/>
        <v>-1.8383725326735672</v>
      </c>
      <c r="G411" s="89">
        <f t="shared" si="80"/>
        <v>133.20976074448595</v>
      </c>
      <c r="H411" s="318">
        <f t="shared" si="81"/>
        <v>3.1064068158695876E-2</v>
      </c>
      <c r="I411" s="89">
        <f t="shared" si="82"/>
        <v>4.1380370871702814</v>
      </c>
      <c r="J411" s="316">
        <f t="shared" si="84"/>
        <v>7</v>
      </c>
      <c r="K411" s="89">
        <f t="shared" si="83"/>
        <v>44.944044820540704</v>
      </c>
      <c r="M411" s="139"/>
      <c r="N411" s="139"/>
      <c r="O411" s="139"/>
      <c r="P411" s="139"/>
      <c r="Q411" s="139"/>
      <c r="R411" s="138"/>
      <c r="S411" s="137"/>
      <c r="T411" s="137"/>
      <c r="U411" s="137"/>
    </row>
    <row r="412" spans="1:21" s="89" customFormat="1" x14ac:dyDescent="0.25">
      <c r="A412" s="315">
        <f t="shared" si="75"/>
        <v>-7.9465421041119857</v>
      </c>
      <c r="B412" s="319">
        <f t="shared" si="76"/>
        <v>19.271016218924103</v>
      </c>
      <c r="C412" s="139">
        <f t="shared" si="77"/>
        <v>-0.73681855295962573</v>
      </c>
      <c r="D412" s="73">
        <f t="shared" si="74"/>
        <v>-7.9465421041119857</v>
      </c>
      <c r="E412" s="159">
        <f t="shared" si="78"/>
        <v>-9.4211376260659785E-2</v>
      </c>
      <c r="F412" s="136">
        <f t="shared" si="79"/>
        <v>-1.8383725326735672</v>
      </c>
      <c r="G412" s="89">
        <f t="shared" si="80"/>
        <v>152.386173806984</v>
      </c>
      <c r="H412" s="318">
        <f t="shared" si="81"/>
        <v>3.1064068158695876E-2</v>
      </c>
      <c r="I412" s="89">
        <f t="shared" si="82"/>
        <v>4.7337344895830276</v>
      </c>
      <c r="J412" s="316">
        <f t="shared" si="84"/>
        <v>8</v>
      </c>
      <c r="K412" s="89">
        <f t="shared" si="83"/>
        <v>42.021098051436375</v>
      </c>
      <c r="M412" s="139"/>
      <c r="N412" s="139"/>
      <c r="O412" s="139"/>
      <c r="P412" s="139"/>
      <c r="Q412" s="139"/>
      <c r="R412" s="138"/>
      <c r="S412" s="137"/>
      <c r="T412" s="137"/>
      <c r="U412" s="137"/>
    </row>
    <row r="413" spans="1:21" s="89" customFormat="1" x14ac:dyDescent="0.25">
      <c r="A413" s="315">
        <f t="shared" si="75"/>
        <v>-8.9465421041119857</v>
      </c>
      <c r="B413" s="319">
        <f t="shared" si="76"/>
        <v>21.696098218924103</v>
      </c>
      <c r="C413" s="139">
        <f t="shared" si="77"/>
        <v>-0.82954046184856933</v>
      </c>
      <c r="D413" s="73">
        <f t="shared" si="74"/>
        <v>-8.9465421041119857</v>
      </c>
      <c r="E413" s="159">
        <f t="shared" si="78"/>
        <v>-9.4211376260659785E-2</v>
      </c>
      <c r="F413" s="136">
        <f t="shared" si="79"/>
        <v>-1.8383725326735672</v>
      </c>
      <c r="G413" s="89">
        <f t="shared" si="80"/>
        <v>171.56258686948203</v>
      </c>
      <c r="H413" s="318">
        <f t="shared" si="81"/>
        <v>3.1064068158695876E-2</v>
      </c>
      <c r="I413" s="89">
        <f t="shared" si="82"/>
        <v>5.3294318919957719</v>
      </c>
      <c r="J413" s="316">
        <f t="shared" si="84"/>
        <v>9</v>
      </c>
      <c r="K413" s="89">
        <f t="shared" si="83"/>
        <v>39.603072979141906</v>
      </c>
      <c r="M413" s="139"/>
      <c r="N413" s="139"/>
      <c r="O413" s="139"/>
      <c r="P413" s="139"/>
      <c r="Q413" s="139"/>
      <c r="R413" s="138"/>
      <c r="S413" s="137"/>
      <c r="T413" s="137"/>
      <c r="U413" s="137"/>
    </row>
    <row r="414" spans="1:21" s="89" customFormat="1" x14ac:dyDescent="0.25">
      <c r="A414" s="315">
        <f t="shared" si="75"/>
        <v>-9.9465421041119857</v>
      </c>
      <c r="B414" s="319">
        <f t="shared" si="76"/>
        <v>24.121180218924103</v>
      </c>
      <c r="C414" s="139">
        <f t="shared" si="77"/>
        <v>-0.92226237073751294</v>
      </c>
      <c r="D414" s="73">
        <f t="shared" si="74"/>
        <v>-9.9465421041119857</v>
      </c>
      <c r="E414" s="159">
        <f t="shared" si="78"/>
        <v>-9.4211376260659785E-2</v>
      </c>
      <c r="F414" s="136">
        <f t="shared" si="79"/>
        <v>-1.8383725326735672</v>
      </c>
      <c r="G414" s="89">
        <f t="shared" si="80"/>
        <v>190.73899993198015</v>
      </c>
      <c r="H414" s="318">
        <f t="shared" si="81"/>
        <v>3.1064068158695876E-2</v>
      </c>
      <c r="I414" s="89">
        <f t="shared" si="82"/>
        <v>5.925129294408519</v>
      </c>
      <c r="J414" s="316">
        <f t="shared" si="84"/>
        <v>10</v>
      </c>
      <c r="K414" s="89">
        <f t="shared" si="83"/>
        <v>37.559554161524197</v>
      </c>
      <c r="M414" s="139"/>
      <c r="N414" s="139"/>
      <c r="O414" s="139"/>
      <c r="P414" s="139"/>
      <c r="Q414" s="139"/>
      <c r="R414" s="138"/>
      <c r="S414" s="137"/>
      <c r="T414" s="137"/>
      <c r="U414" s="137"/>
    </row>
    <row r="415" spans="1:21" s="89" customFormat="1" x14ac:dyDescent="0.25">
      <c r="A415" s="315">
        <f t="shared" si="75"/>
        <v>-10.946542104111986</v>
      </c>
      <c r="B415" s="319">
        <f t="shared" si="76"/>
        <v>26.546262218924106</v>
      </c>
      <c r="C415" s="139">
        <f t="shared" si="77"/>
        <v>-1.0149842796264565</v>
      </c>
      <c r="D415" s="73">
        <f t="shared" si="74"/>
        <v>-10.946542104111986</v>
      </c>
      <c r="E415" s="159">
        <f t="shared" si="78"/>
        <v>-9.4211376260659785E-2</v>
      </c>
      <c r="F415" s="136">
        <f t="shared" si="79"/>
        <v>-1.8383725326735672</v>
      </c>
      <c r="G415" s="89">
        <f t="shared" si="80"/>
        <v>209.91541299447823</v>
      </c>
      <c r="H415" s="318">
        <f t="shared" si="81"/>
        <v>3.1064068158695876E-2</v>
      </c>
      <c r="I415" s="89">
        <f t="shared" si="82"/>
        <v>6.520826696821266</v>
      </c>
      <c r="J415" s="316">
        <f t="shared" si="84"/>
        <v>11</v>
      </c>
      <c r="K415" s="89">
        <f t="shared" si="83"/>
        <v>35.802884314371219</v>
      </c>
      <c r="M415" s="139"/>
      <c r="N415" s="139"/>
      <c r="O415" s="139"/>
      <c r="P415" s="139"/>
      <c r="Q415" s="139"/>
      <c r="R415" s="138"/>
      <c r="S415" s="137"/>
      <c r="T415" s="137"/>
      <c r="U415" s="137"/>
    </row>
    <row r="416" spans="1:21" s="89" customFormat="1" x14ac:dyDescent="0.25">
      <c r="A416" s="315">
        <f t="shared" si="75"/>
        <v>-11.946542104111986</v>
      </c>
      <c r="B416" s="319">
        <f t="shared" si="76"/>
        <v>28.971344218924106</v>
      </c>
      <c r="C416" s="139">
        <f t="shared" si="77"/>
        <v>-1.1077061885154003</v>
      </c>
      <c r="D416" s="73">
        <f t="shared" si="74"/>
        <v>-11.946542104111986</v>
      </c>
      <c r="E416" s="159">
        <f t="shared" si="78"/>
        <v>-9.4211376260659785E-2</v>
      </c>
      <c r="F416" s="136">
        <f t="shared" si="79"/>
        <v>-1.8383725326735672</v>
      </c>
      <c r="G416" s="89">
        <f t="shared" si="80"/>
        <v>229.09182605697629</v>
      </c>
      <c r="H416" s="318">
        <f t="shared" si="81"/>
        <v>3.1064068158695876E-2</v>
      </c>
      <c r="I416" s="89">
        <f t="shared" si="82"/>
        <v>7.1165240992340113</v>
      </c>
      <c r="J416" s="316">
        <f t="shared" si="84"/>
        <v>12</v>
      </c>
      <c r="K416" s="89">
        <f t="shared" si="83"/>
        <v>34.271679055420677</v>
      </c>
      <c r="M416" s="139"/>
      <c r="N416" s="139"/>
      <c r="O416" s="139"/>
      <c r="P416" s="139"/>
      <c r="Q416" s="139"/>
      <c r="R416" s="138"/>
      <c r="S416" s="137"/>
      <c r="T416" s="137"/>
      <c r="U416" s="137"/>
    </row>
    <row r="417" spans="1:21" s="89" customFormat="1" x14ac:dyDescent="0.25">
      <c r="A417" s="315">
        <f t="shared" si="75"/>
        <v>-12.946542104111986</v>
      </c>
      <c r="B417" s="319">
        <f t="shared" si="76"/>
        <v>31.396426218924105</v>
      </c>
      <c r="C417" s="139">
        <f t="shared" si="77"/>
        <v>-1.2004280974043438</v>
      </c>
      <c r="D417" s="73">
        <f t="shared" si="74"/>
        <v>-12.946542104111986</v>
      </c>
      <c r="E417" s="159">
        <f t="shared" si="78"/>
        <v>-9.4211376260659785E-2</v>
      </c>
      <c r="F417" s="136">
        <f t="shared" si="79"/>
        <v>-1.8383725326735672</v>
      </c>
      <c r="G417" s="89">
        <f t="shared" si="80"/>
        <v>248.26823911947434</v>
      </c>
      <c r="H417" s="318">
        <f t="shared" si="81"/>
        <v>3.1064068158695876E-2</v>
      </c>
      <c r="I417" s="89">
        <f t="shared" si="82"/>
        <v>7.7122215016467566</v>
      </c>
      <c r="J417" s="316">
        <f t="shared" si="84"/>
        <v>13</v>
      </c>
      <c r="K417" s="89">
        <f t="shared" si="83"/>
        <v>32.921498666010415</v>
      </c>
      <c r="M417" s="139"/>
      <c r="N417" s="139"/>
      <c r="O417" s="139"/>
      <c r="P417" s="139"/>
      <c r="Q417" s="139"/>
      <c r="R417" s="138"/>
      <c r="S417" s="137"/>
      <c r="T417" s="137"/>
      <c r="U417" s="137"/>
    </row>
    <row r="418" spans="1:21" s="89" customFormat="1" x14ac:dyDescent="0.25">
      <c r="A418" s="315">
        <f t="shared" si="75"/>
        <v>-13.946542104111986</v>
      </c>
      <c r="B418" s="319">
        <f t="shared" si="76"/>
        <v>33.821508218924102</v>
      </c>
      <c r="C418" s="139">
        <f t="shared" si="77"/>
        <v>-1.2931500062932875</v>
      </c>
      <c r="D418" s="73">
        <f t="shared" si="74"/>
        <v>-13.946542104111986</v>
      </c>
      <c r="E418" s="159">
        <f t="shared" si="78"/>
        <v>-9.4211376260659785E-2</v>
      </c>
      <c r="F418" s="136">
        <f t="shared" si="79"/>
        <v>-1.8383725326735672</v>
      </c>
      <c r="G418" s="89">
        <f t="shared" si="80"/>
        <v>267.4446521819724</v>
      </c>
      <c r="H418" s="318">
        <f t="shared" si="81"/>
        <v>3.1064068158695876E-2</v>
      </c>
      <c r="I418" s="89">
        <f t="shared" si="82"/>
        <v>8.3079189040595018</v>
      </c>
      <c r="J418" s="316">
        <f t="shared" si="84"/>
        <v>14</v>
      </c>
      <c r="K418" s="89">
        <f t="shared" si="83"/>
        <v>31.719272649435197</v>
      </c>
      <c r="M418" s="139"/>
      <c r="N418" s="139"/>
      <c r="O418" s="139"/>
      <c r="P418" s="139"/>
      <c r="Q418" s="139"/>
      <c r="R418" s="138"/>
      <c r="S418" s="137"/>
      <c r="T418" s="137"/>
      <c r="U418" s="137"/>
    </row>
    <row r="419" spans="1:21" s="89" customFormat="1" x14ac:dyDescent="0.25">
      <c r="A419" s="315">
        <f t="shared" si="75"/>
        <v>-14.946542104111986</v>
      </c>
      <c r="B419" s="319">
        <f t="shared" si="76"/>
        <v>36.246590218924105</v>
      </c>
      <c r="C419" s="139">
        <f t="shared" si="77"/>
        <v>-1.385871915182231</v>
      </c>
      <c r="D419" s="73">
        <f t="shared" si="74"/>
        <v>-14.946542104111986</v>
      </c>
      <c r="E419" s="159">
        <f t="shared" si="78"/>
        <v>-9.4211376260659785E-2</v>
      </c>
      <c r="F419" s="136">
        <f t="shared" si="79"/>
        <v>-1.8383725326735672</v>
      </c>
      <c r="G419" s="89">
        <f t="shared" si="80"/>
        <v>286.62106524447046</v>
      </c>
      <c r="H419" s="318">
        <f t="shared" si="81"/>
        <v>3.1064068158695876E-2</v>
      </c>
      <c r="I419" s="89">
        <f t="shared" si="82"/>
        <v>8.903616306472248</v>
      </c>
      <c r="J419" s="316">
        <f t="shared" si="84"/>
        <v>15</v>
      </c>
      <c r="K419" s="89">
        <f t="shared" si="83"/>
        <v>30.639814116431399</v>
      </c>
      <c r="M419" s="139"/>
      <c r="N419" s="139"/>
      <c r="O419" s="139"/>
      <c r="P419" s="139"/>
      <c r="Q419" s="139"/>
      <c r="R419" s="138"/>
      <c r="S419" s="137"/>
      <c r="T419" s="137"/>
      <c r="U419" s="137"/>
    </row>
    <row r="420" spans="1:21" s="89" customFormat="1" x14ac:dyDescent="0.25">
      <c r="A420" s="315">
        <f t="shared" si="75"/>
        <v>-15.946542104111986</v>
      </c>
      <c r="B420" s="319">
        <f t="shared" si="76"/>
        <v>38.671672218924108</v>
      </c>
      <c r="C420" s="139">
        <f t="shared" si="77"/>
        <v>-1.4785938240711747</v>
      </c>
      <c r="D420" s="73">
        <f t="shared" si="74"/>
        <v>-15.946542104111986</v>
      </c>
      <c r="E420" s="159">
        <f t="shared" si="78"/>
        <v>-9.4211376260659785E-2</v>
      </c>
      <c r="F420" s="136">
        <f t="shared" si="79"/>
        <v>-1.8383725326735672</v>
      </c>
      <c r="G420" s="89">
        <f t="shared" si="80"/>
        <v>305.79747830696851</v>
      </c>
      <c r="H420" s="318">
        <f t="shared" si="81"/>
        <v>3.1064068158695876E-2</v>
      </c>
      <c r="I420" s="89">
        <f t="shared" si="82"/>
        <v>9.4993137088849942</v>
      </c>
      <c r="J420" s="316">
        <f t="shared" si="84"/>
        <v>16</v>
      </c>
      <c r="K420" s="89">
        <f t="shared" si="83"/>
        <v>29.663557171721493</v>
      </c>
      <c r="M420" s="139"/>
      <c r="N420" s="139"/>
      <c r="O420" s="139"/>
      <c r="P420" s="139"/>
      <c r="Q420" s="139"/>
      <c r="R420" s="138"/>
      <c r="S420" s="137"/>
      <c r="T420" s="137"/>
      <c r="U420" s="137"/>
    </row>
    <row r="421" spans="1:21" s="89" customFormat="1" x14ac:dyDescent="0.25">
      <c r="A421" s="315">
        <f t="shared" si="75"/>
        <v>-16.946542104111984</v>
      </c>
      <c r="B421" s="319">
        <f t="shared" si="76"/>
        <v>41.096754218924104</v>
      </c>
      <c r="C421" s="139">
        <f t="shared" si="77"/>
        <v>-1.571315732960118</v>
      </c>
      <c r="D421" s="73">
        <f t="shared" si="74"/>
        <v>-16.946542104111984</v>
      </c>
      <c r="E421" s="159">
        <f t="shared" si="78"/>
        <v>-9.4211376260659785E-2</v>
      </c>
      <c r="F421" s="136">
        <f t="shared" si="79"/>
        <v>-1.8383725326735672</v>
      </c>
      <c r="G421" s="89">
        <f t="shared" si="80"/>
        <v>324.97389136946663</v>
      </c>
      <c r="H421" s="318">
        <f t="shared" si="81"/>
        <v>3.1064068158695876E-2</v>
      </c>
      <c r="I421" s="89">
        <f t="shared" si="82"/>
        <v>10.09501111129774</v>
      </c>
      <c r="J421" s="316">
        <f t="shared" si="84"/>
        <v>16.999999999999996</v>
      </c>
      <c r="K421" s="89">
        <f t="shared" si="83"/>
        <v>28.775040507200703</v>
      </c>
      <c r="M421" s="139"/>
      <c r="N421" s="139"/>
      <c r="O421" s="139"/>
      <c r="P421" s="139"/>
      <c r="Q421" s="139"/>
      <c r="R421" s="138"/>
      <c r="S421" s="137"/>
      <c r="T421" s="137"/>
      <c r="U421" s="137"/>
    </row>
    <row r="422" spans="1:21" s="89" customFormat="1" x14ac:dyDescent="0.25">
      <c r="A422" s="315">
        <f t="shared" si="75"/>
        <v>-17.946542104111984</v>
      </c>
      <c r="B422" s="319">
        <f t="shared" si="76"/>
        <v>43.521836218924101</v>
      </c>
      <c r="C422" s="139">
        <f t="shared" si="77"/>
        <v>-1.6640376418490617</v>
      </c>
      <c r="D422" s="73">
        <f t="shared" si="74"/>
        <v>-17.946542104111984</v>
      </c>
      <c r="E422" s="159">
        <f t="shared" si="78"/>
        <v>-9.4211376260659785E-2</v>
      </c>
      <c r="F422" s="136">
        <f t="shared" si="79"/>
        <v>-1.8383725326735672</v>
      </c>
      <c r="G422" s="89">
        <f t="shared" si="80"/>
        <v>344.15030443196463</v>
      </c>
      <c r="H422" s="318">
        <f t="shared" si="81"/>
        <v>3.1064068158695876E-2</v>
      </c>
      <c r="I422" s="89">
        <f t="shared" si="82"/>
        <v>10.690708513710485</v>
      </c>
      <c r="J422" s="316">
        <f t="shared" si="84"/>
        <v>17.999999999999996</v>
      </c>
      <c r="K422" s="89">
        <f t="shared" si="83"/>
        <v>27.961862776076938</v>
      </c>
      <c r="M422" s="139"/>
      <c r="N422" s="139"/>
      <c r="O422" s="139"/>
      <c r="P422" s="139"/>
      <c r="Q422" s="139"/>
      <c r="R422" s="138"/>
      <c r="S422" s="137"/>
      <c r="T422" s="137"/>
      <c r="U422" s="137"/>
    </row>
    <row r="423" spans="1:21" s="89" customFormat="1" x14ac:dyDescent="0.25">
      <c r="A423" s="315">
        <f t="shared" si="75"/>
        <v>-18.946542104111984</v>
      </c>
      <c r="B423" s="319">
        <f t="shared" si="76"/>
        <v>45.946918218924104</v>
      </c>
      <c r="C423" s="139">
        <f t="shared" si="77"/>
        <v>-1.7567595507380052</v>
      </c>
      <c r="D423" s="73">
        <f t="shared" si="74"/>
        <v>-18.946542104111984</v>
      </c>
      <c r="E423" s="159">
        <f t="shared" si="78"/>
        <v>-9.4211376260659785E-2</v>
      </c>
      <c r="F423" s="136">
        <f t="shared" si="79"/>
        <v>-1.8383725326735672</v>
      </c>
      <c r="G423" s="89">
        <f t="shared" si="80"/>
        <v>363.32671749446274</v>
      </c>
      <c r="H423" s="318">
        <f t="shared" si="81"/>
        <v>3.1064068158695876E-2</v>
      </c>
      <c r="I423" s="89">
        <f t="shared" si="82"/>
        <v>11.286405916123233</v>
      </c>
      <c r="J423" s="316">
        <f t="shared" si="84"/>
        <v>18.999999999999996</v>
      </c>
      <c r="K423" s="89">
        <f t="shared" si="83"/>
        <v>27.213945549155252</v>
      </c>
      <c r="M423" s="139"/>
      <c r="N423" s="139"/>
      <c r="O423" s="139"/>
      <c r="P423" s="139"/>
      <c r="Q423" s="139"/>
      <c r="R423" s="138"/>
      <c r="S423" s="137"/>
      <c r="T423" s="137"/>
      <c r="U423" s="137"/>
    </row>
    <row r="424" spans="1:21" s="89" customFormat="1" x14ac:dyDescent="0.25">
      <c r="A424" s="315">
        <f t="shared" si="75"/>
        <v>-19.946542104111984</v>
      </c>
      <c r="B424" s="319">
        <f t="shared" si="76"/>
        <v>48.3720002189241</v>
      </c>
      <c r="C424" s="139">
        <f t="shared" si="77"/>
        <v>-1.8494814596269489</v>
      </c>
      <c r="D424" s="73">
        <f t="shared" si="74"/>
        <v>-19.946542104111984</v>
      </c>
      <c r="E424" s="159">
        <f t="shared" si="78"/>
        <v>-9.4211376260659785E-2</v>
      </c>
      <c r="F424" s="136">
        <f t="shared" si="79"/>
        <v>-1.8383725326735672</v>
      </c>
      <c r="G424" s="89">
        <f t="shared" si="80"/>
        <v>382.5031305569608</v>
      </c>
      <c r="H424" s="318">
        <f t="shared" si="81"/>
        <v>3.1064068158695876E-2</v>
      </c>
      <c r="I424" s="89">
        <f t="shared" si="82"/>
        <v>11.882103318535977</v>
      </c>
      <c r="J424" s="316">
        <f t="shared" si="84"/>
        <v>19.999999999999996</v>
      </c>
      <c r="K424" s="89">
        <f t="shared" si="83"/>
        <v>26.523002249596093</v>
      </c>
      <c r="M424" s="139"/>
      <c r="N424" s="139"/>
      <c r="O424" s="139"/>
      <c r="P424" s="139"/>
      <c r="Q424" s="139"/>
      <c r="R424" s="138"/>
      <c r="S424" s="137"/>
      <c r="T424" s="137"/>
      <c r="U424" s="137"/>
    </row>
    <row r="425" spans="1:21" s="89" customFormat="1" x14ac:dyDescent="0.25">
      <c r="A425" s="315">
        <f t="shared" si="75"/>
        <v>-20.946542104111984</v>
      </c>
      <c r="B425" s="319">
        <f t="shared" si="76"/>
        <v>50.797082218924103</v>
      </c>
      <c r="C425" s="139">
        <f t="shared" si="77"/>
        <v>-1.9422033685158924</v>
      </c>
      <c r="D425" s="73">
        <f t="shared" si="74"/>
        <v>-20.946542104111984</v>
      </c>
      <c r="E425" s="159">
        <f t="shared" si="78"/>
        <v>-9.4211376260659785E-2</v>
      </c>
      <c r="F425" s="136">
        <f t="shared" si="79"/>
        <v>-1.8383725326735672</v>
      </c>
      <c r="G425" s="89">
        <f t="shared" si="80"/>
        <v>401.67954361945885</v>
      </c>
      <c r="H425" s="318">
        <f t="shared" si="81"/>
        <v>3.1064068158695876E-2</v>
      </c>
      <c r="I425" s="89">
        <f t="shared" si="82"/>
        <v>12.477800720948723</v>
      </c>
      <c r="J425" s="316">
        <f>$A$404-A425</f>
        <v>20.999999999999996</v>
      </c>
      <c r="K425" s="89">
        <f t="shared" si="83"/>
        <v>25.88214831939403</v>
      </c>
      <c r="M425" s="139"/>
      <c r="N425" s="139"/>
      <c r="O425" s="139"/>
      <c r="P425" s="139"/>
      <c r="Q425" s="139"/>
      <c r="R425" s="138"/>
      <c r="S425" s="137"/>
      <c r="T425" s="137"/>
      <c r="U425" s="137"/>
    </row>
    <row r="426" spans="1:21" s="89" customFormat="1" x14ac:dyDescent="0.25">
      <c r="A426" s="315">
        <f t="shared" si="75"/>
        <v>-21.946542104111984</v>
      </c>
      <c r="B426" s="319">
        <f t="shared" si="76"/>
        <v>53.2221642189241</v>
      </c>
      <c r="C426" s="139">
        <f t="shared" si="77"/>
        <v>-2.0349252774048359</v>
      </c>
      <c r="D426" s="73">
        <f t="shared" si="74"/>
        <v>-21.946542104111984</v>
      </c>
      <c r="E426" s="159">
        <f t="shared" si="78"/>
        <v>-9.4211376260659785E-2</v>
      </c>
      <c r="F426" s="136">
        <f t="shared" si="79"/>
        <v>-1.8383725326735672</v>
      </c>
      <c r="G426" s="89">
        <f t="shared" si="80"/>
        <v>420.85595668195691</v>
      </c>
      <c r="H426" s="318">
        <f t="shared" si="81"/>
        <v>3.1064068158695876E-2</v>
      </c>
      <c r="I426" s="89">
        <f t="shared" si="82"/>
        <v>13.073498123361469</v>
      </c>
      <c r="J426" s="316">
        <f>$A$404-A426</f>
        <v>21.999999999999996</v>
      </c>
      <c r="K426" s="89">
        <f t="shared" si="83"/>
        <v>25.285610272980893</v>
      </c>
      <c r="M426" s="139"/>
      <c r="N426" s="139"/>
      <c r="O426" s="139"/>
      <c r="P426" s="139"/>
      <c r="Q426" s="139"/>
      <c r="R426" s="138"/>
      <c r="S426" s="137"/>
      <c r="T426" s="137"/>
      <c r="U426" s="137"/>
    </row>
    <row r="427" spans="1:21" s="89" customFormat="1" x14ac:dyDescent="0.25">
      <c r="A427" s="315">
        <f t="shared" si="75"/>
        <v>-22.946542104111984</v>
      </c>
      <c r="B427" s="319">
        <f t="shared" si="76"/>
        <v>55.647246218924103</v>
      </c>
      <c r="C427" s="139">
        <f t="shared" si="77"/>
        <v>-2.1276471862937796</v>
      </c>
      <c r="D427" s="73">
        <f t="shared" si="74"/>
        <v>-22.946542104111984</v>
      </c>
      <c r="E427" s="159">
        <f t="shared" si="78"/>
        <v>-9.4211376260659785E-2</v>
      </c>
      <c r="F427" s="136">
        <f t="shared" si="79"/>
        <v>-1.8383725326735672</v>
      </c>
      <c r="G427" s="89">
        <f t="shared" si="80"/>
        <v>440.03236974445508</v>
      </c>
      <c r="H427" s="318">
        <f t="shared" si="81"/>
        <v>3.1064068158695876E-2</v>
      </c>
      <c r="I427" s="89">
        <f t="shared" si="82"/>
        <v>13.669195525774217</v>
      </c>
      <c r="J427" s="316">
        <f t="shared" ref="J427:J440" si="85">$A$404-A427</f>
        <v>22.999999999999996</v>
      </c>
      <c r="K427" s="89">
        <f t="shared" si="83"/>
        <v>24.728505297681963</v>
      </c>
      <c r="M427" s="139"/>
      <c r="N427" s="139"/>
      <c r="O427" s="139"/>
      <c r="P427" s="139"/>
      <c r="Q427" s="139"/>
      <c r="R427" s="138"/>
      <c r="S427" s="137"/>
      <c r="T427" s="137"/>
      <c r="U427" s="137"/>
    </row>
    <row r="428" spans="1:21" s="89" customFormat="1" x14ac:dyDescent="0.25">
      <c r="A428" s="315">
        <f t="shared" si="75"/>
        <v>-23.946542104111984</v>
      </c>
      <c r="B428" s="319">
        <f t="shared" si="76"/>
        <v>58.072328218924099</v>
      </c>
      <c r="C428" s="139">
        <f t="shared" si="77"/>
        <v>-2.2203690951827233</v>
      </c>
      <c r="D428" s="73">
        <f t="shared" si="74"/>
        <v>-23.946542104111984</v>
      </c>
      <c r="E428" s="159">
        <f t="shared" si="78"/>
        <v>-9.4211376260659785E-2</v>
      </c>
      <c r="F428" s="136">
        <f t="shared" si="79"/>
        <v>-1.8383725326735672</v>
      </c>
      <c r="G428" s="89">
        <f>-E428*$E$538*(B428*$P$320+C428*$P$322)/($P$323)+F428*$E$538*(C428*$P$321+B428*$P$322)/($P$323)</f>
        <v>459.20878280695314</v>
      </c>
      <c r="H428" s="318">
        <f t="shared" si="81"/>
        <v>3.1064068158695876E-2</v>
      </c>
      <c r="I428" s="89">
        <f t="shared" si="82"/>
        <v>14.264892928186963</v>
      </c>
      <c r="J428" s="316">
        <f t="shared" si="85"/>
        <v>23.999999999999996</v>
      </c>
      <c r="K428" s="89">
        <f t="shared" si="83"/>
        <v>24.206672037309893</v>
      </c>
      <c r="M428" s="139"/>
      <c r="N428" s="139"/>
      <c r="O428" s="139"/>
      <c r="P428" s="139"/>
      <c r="Q428" s="139"/>
      <c r="R428" s="138"/>
      <c r="S428" s="137"/>
      <c r="T428" s="137"/>
      <c r="U428" s="137"/>
    </row>
    <row r="429" spans="1:21" s="89" customFormat="1" x14ac:dyDescent="0.25">
      <c r="A429" s="315">
        <f t="shared" si="75"/>
        <v>-24.946542104111984</v>
      </c>
      <c r="B429" s="319">
        <f t="shared" si="76"/>
        <v>60.497410218924102</v>
      </c>
      <c r="C429" s="139">
        <f t="shared" si="77"/>
        <v>-2.313091004071667</v>
      </c>
      <c r="D429" s="73">
        <f t="shared" si="74"/>
        <v>-24.946542104111984</v>
      </c>
      <c r="E429" s="159">
        <f t="shared" si="78"/>
        <v>-9.4211376260659785E-2</v>
      </c>
      <c r="F429" s="136">
        <f t="shared" si="79"/>
        <v>-1.8383725326735672</v>
      </c>
      <c r="G429" s="89">
        <f t="shared" si="80"/>
        <v>478.38519586945119</v>
      </c>
      <c r="H429" s="318">
        <f t="shared" si="81"/>
        <v>3.1064068158695876E-2</v>
      </c>
      <c r="I429" s="89">
        <f t="shared" si="82"/>
        <v>14.86059033059971</v>
      </c>
      <c r="J429" s="316">
        <f t="shared" si="85"/>
        <v>24.999999999999996</v>
      </c>
      <c r="K429" s="89">
        <f t="shared" si="83"/>
        <v>23.716539079747413</v>
      </c>
      <c r="M429" s="139"/>
      <c r="N429" s="139"/>
      <c r="O429" s="139"/>
      <c r="P429" s="139"/>
      <c r="Q429" s="139"/>
      <c r="R429" s="138"/>
      <c r="S429" s="137"/>
      <c r="T429" s="137"/>
      <c r="U429" s="137"/>
    </row>
    <row r="430" spans="1:21" s="89" customFormat="1" x14ac:dyDescent="0.25">
      <c r="A430" s="315">
        <f t="shared" si="75"/>
        <v>-25.946542104111984</v>
      </c>
      <c r="B430" s="319">
        <f t="shared" si="76"/>
        <v>62.922492218924106</v>
      </c>
      <c r="C430" s="139">
        <f t="shared" si="77"/>
        <v>-2.4058129129606103</v>
      </c>
      <c r="D430" s="73">
        <f t="shared" si="74"/>
        <v>-25.946542104111984</v>
      </c>
      <c r="E430" s="159">
        <f t="shared" si="78"/>
        <v>-9.4211376260659785E-2</v>
      </c>
      <c r="F430" s="136">
        <f t="shared" si="79"/>
        <v>-1.8383725326735672</v>
      </c>
      <c r="G430" s="89">
        <f t="shared" si="80"/>
        <v>497.56160893194919</v>
      </c>
      <c r="H430" s="318">
        <f t="shared" si="81"/>
        <v>3.1064068158695876E-2</v>
      </c>
      <c r="I430" s="89">
        <f t="shared" si="82"/>
        <v>15.456287733012452</v>
      </c>
      <c r="J430" s="316">
        <f t="shared" si="85"/>
        <v>25.999999999999996</v>
      </c>
      <c r="K430" s="89">
        <f t="shared" si="83"/>
        <v>23.255021605999822</v>
      </c>
      <c r="M430" s="139"/>
      <c r="N430" s="139"/>
      <c r="O430" s="139"/>
      <c r="P430" s="139"/>
      <c r="Q430" s="139"/>
      <c r="R430" s="138"/>
      <c r="S430" s="137"/>
      <c r="T430" s="137"/>
      <c r="U430" s="137"/>
    </row>
    <row r="431" spans="1:21" s="89" customFormat="1" x14ac:dyDescent="0.25">
      <c r="A431" s="315">
        <f t="shared" si="75"/>
        <v>-26.946542104111984</v>
      </c>
      <c r="B431" s="319">
        <f t="shared" si="76"/>
        <v>65.347574218924109</v>
      </c>
      <c r="C431" s="139">
        <f t="shared" si="77"/>
        <v>-2.498534821849554</v>
      </c>
      <c r="D431" s="73">
        <f t="shared" si="74"/>
        <v>-26.946542104111984</v>
      </c>
      <c r="E431" s="159">
        <f t="shared" si="78"/>
        <v>-9.4211376260659785E-2</v>
      </c>
      <c r="F431" s="136">
        <f t="shared" si="79"/>
        <v>-1.8383725326735672</v>
      </c>
      <c r="G431" s="89">
        <f t="shared" si="80"/>
        <v>516.73802199444731</v>
      </c>
      <c r="H431" s="318">
        <f t="shared" si="81"/>
        <v>3.1064068158695876E-2</v>
      </c>
      <c r="I431" s="89">
        <f t="shared" si="82"/>
        <v>16.051985135425198</v>
      </c>
      <c r="J431" s="316">
        <f t="shared" si="85"/>
        <v>26.999999999999996</v>
      </c>
      <c r="K431" s="89">
        <f t="shared" si="83"/>
        <v>22.819439340592915</v>
      </c>
      <c r="M431" s="139"/>
      <c r="N431" s="139"/>
      <c r="O431" s="139"/>
      <c r="P431" s="139"/>
      <c r="Q431" s="139"/>
      <c r="R431" s="138"/>
      <c r="S431" s="137"/>
      <c r="T431" s="137"/>
      <c r="U431" s="137"/>
    </row>
    <row r="432" spans="1:21" s="89" customFormat="1" x14ac:dyDescent="0.25">
      <c r="A432" s="315">
        <f t="shared" si="75"/>
        <v>-27.946542104111984</v>
      </c>
      <c r="B432" s="319">
        <f t="shared" si="76"/>
        <v>67.772656218924098</v>
      </c>
      <c r="C432" s="139">
        <f t="shared" si="77"/>
        <v>-2.5912567307384977</v>
      </c>
      <c r="D432" s="73">
        <f t="shared" si="74"/>
        <v>-27.946542104111984</v>
      </c>
      <c r="E432" s="159">
        <f t="shared" si="78"/>
        <v>-9.4211376260659785E-2</v>
      </c>
      <c r="F432" s="136">
        <f t="shared" si="79"/>
        <v>-1.8383725326735672</v>
      </c>
      <c r="G432" s="89">
        <f t="shared" si="80"/>
        <v>535.91443505694531</v>
      </c>
      <c r="H432" s="318">
        <f t="shared" si="81"/>
        <v>3.1064068158695876E-2</v>
      </c>
      <c r="I432" s="89">
        <f t="shared" si="82"/>
        <v>16.647682537837944</v>
      </c>
      <c r="J432" s="316">
        <f t="shared" si="85"/>
        <v>27.999999999999996</v>
      </c>
      <c r="K432" s="89">
        <f t="shared" si="83"/>
        <v>22.407450801859287</v>
      </c>
      <c r="M432" s="139"/>
      <c r="N432" s="139"/>
      <c r="O432" s="139"/>
      <c r="P432" s="139"/>
      <c r="Q432" s="139"/>
      <c r="R432" s="138"/>
      <c r="S432" s="137"/>
      <c r="T432" s="137"/>
      <c r="U432" s="137"/>
    </row>
    <row r="433" spans="1:21" s="89" customFormat="1" x14ac:dyDescent="0.25">
      <c r="A433" s="315">
        <f t="shared" si="75"/>
        <v>-28.946542104111984</v>
      </c>
      <c r="B433" s="319">
        <f t="shared" si="76"/>
        <v>70.197738218924101</v>
      </c>
      <c r="C433" s="139">
        <f t="shared" si="77"/>
        <v>-2.6839786396274414</v>
      </c>
      <c r="D433" s="73">
        <f t="shared" si="74"/>
        <v>-28.946542104111984</v>
      </c>
      <c r="E433" s="159">
        <f t="shared" si="78"/>
        <v>-9.4211376260659785E-2</v>
      </c>
      <c r="F433" s="136">
        <f t="shared" si="79"/>
        <v>-1.8383725326735672</v>
      </c>
      <c r="G433" s="89">
        <f t="shared" si="80"/>
        <v>555.09084811944331</v>
      </c>
      <c r="H433" s="318">
        <f t="shared" si="81"/>
        <v>3.1064068158695876E-2</v>
      </c>
      <c r="I433" s="89">
        <f t="shared" si="82"/>
        <v>17.243379940250687</v>
      </c>
      <c r="J433" s="316">
        <f t="shared" si="85"/>
        <v>28.999999999999996</v>
      </c>
      <c r="K433" s="89">
        <f t="shared" si="83"/>
        <v>22.017000158466072</v>
      </c>
      <c r="M433" s="139"/>
      <c r="N433" s="139"/>
      <c r="O433" s="139"/>
      <c r="P433" s="139"/>
      <c r="Q433" s="139"/>
      <c r="R433" s="138"/>
      <c r="S433" s="137"/>
      <c r="T433" s="137"/>
      <c r="U433" s="137"/>
    </row>
    <row r="434" spans="1:21" s="89" customFormat="1" x14ac:dyDescent="0.25">
      <c r="A434" s="315">
        <f t="shared" si="75"/>
        <v>-29.946542104111984</v>
      </c>
      <c r="B434" s="319">
        <f t="shared" si="76"/>
        <v>72.622820218924105</v>
      </c>
      <c r="C434" s="139">
        <f t="shared" si="77"/>
        <v>-2.7767005485163847</v>
      </c>
      <c r="D434" s="73">
        <f t="shared" si="74"/>
        <v>-29.946542104111984</v>
      </c>
      <c r="E434" s="159">
        <f t="shared" si="78"/>
        <v>-9.4211376260659785E-2</v>
      </c>
      <c r="F434" s="136">
        <f t="shared" si="79"/>
        <v>-1.8383725326735672</v>
      </c>
      <c r="G434" s="89">
        <f t="shared" si="80"/>
        <v>574.26726118194154</v>
      </c>
      <c r="H434" s="318">
        <f t="shared" si="81"/>
        <v>3.1064068158695876E-2</v>
      </c>
      <c r="I434" s="89">
        <f t="shared" si="82"/>
        <v>17.839077342663437</v>
      </c>
      <c r="J434" s="316">
        <f t="shared" si="85"/>
        <v>29.999999999999996</v>
      </c>
      <c r="K434" s="89">
        <f t="shared" si="83"/>
        <v>21.646273931817152</v>
      </c>
      <c r="M434" s="139"/>
      <c r="N434" s="139"/>
      <c r="O434" s="139"/>
      <c r="P434" s="139"/>
      <c r="Q434" s="139"/>
      <c r="R434" s="138"/>
      <c r="S434" s="137"/>
      <c r="T434" s="137"/>
      <c r="U434" s="137"/>
    </row>
    <row r="435" spans="1:21" s="89" customFormat="1" x14ac:dyDescent="0.25">
      <c r="A435" s="315">
        <f t="shared" si="75"/>
        <v>-30.946542104111984</v>
      </c>
      <c r="B435" s="319">
        <f t="shared" si="76"/>
        <v>75.047902218924108</v>
      </c>
      <c r="C435" s="139">
        <f t="shared" si="77"/>
        <v>-2.8694224574053284</v>
      </c>
      <c r="D435" s="73">
        <f t="shared" si="74"/>
        <v>-30.946542104111984</v>
      </c>
      <c r="E435" s="159">
        <f t="shared" si="78"/>
        <v>-9.4211376260659785E-2</v>
      </c>
      <c r="F435" s="136">
        <f t="shared" si="79"/>
        <v>-1.8383725326735672</v>
      </c>
      <c r="G435" s="89">
        <f t="shared" si="80"/>
        <v>593.44367424443965</v>
      </c>
      <c r="H435" s="318">
        <f t="shared" si="81"/>
        <v>3.1064068158695876E-2</v>
      </c>
      <c r="I435" s="89">
        <f t="shared" si="82"/>
        <v>18.434774745076187</v>
      </c>
      <c r="J435" s="316">
        <f t="shared" si="85"/>
        <v>30.999999999999996</v>
      </c>
      <c r="K435" s="89">
        <f t="shared" si="83"/>
        <v>21.293665458686281</v>
      </c>
      <c r="M435" s="139"/>
      <c r="N435" s="139"/>
      <c r="O435" s="139"/>
      <c r="P435" s="139"/>
      <c r="Q435" s="139"/>
      <c r="R435" s="138"/>
      <c r="S435" s="137"/>
      <c r="T435" s="137"/>
      <c r="U435" s="137"/>
    </row>
    <row r="436" spans="1:21" s="89" customFormat="1" x14ac:dyDescent="0.25">
      <c r="A436" s="315">
        <f t="shared" si="75"/>
        <v>-31.946542104111984</v>
      </c>
      <c r="B436" s="319">
        <f t="shared" si="76"/>
        <v>77.472984218924097</v>
      </c>
      <c r="C436" s="139">
        <f t="shared" si="77"/>
        <v>-2.9621443662942721</v>
      </c>
      <c r="D436" s="73">
        <f t="shared" si="74"/>
        <v>-31.946542104111984</v>
      </c>
      <c r="E436" s="159">
        <f t="shared" si="78"/>
        <v>-9.4211376260659785E-2</v>
      </c>
      <c r="F436" s="136">
        <f t="shared" si="79"/>
        <v>-1.8383725326735672</v>
      </c>
      <c r="G436" s="89">
        <f t="shared" si="80"/>
        <v>612.62008730693753</v>
      </c>
      <c r="H436" s="318">
        <f t="shared" si="81"/>
        <v>3.1064068158695876E-2</v>
      </c>
      <c r="I436" s="89">
        <f t="shared" si="82"/>
        <v>19.030472147488926</v>
      </c>
      <c r="J436" s="316">
        <f t="shared" si="85"/>
        <v>31.999999999999996</v>
      </c>
      <c r="K436" s="89">
        <f t="shared" si="83"/>
        <v>20.957745522138644</v>
      </c>
      <c r="M436" s="139"/>
      <c r="N436" s="139"/>
      <c r="O436" s="139"/>
      <c r="P436" s="139"/>
      <c r="Q436" s="139"/>
      <c r="R436" s="138"/>
      <c r="S436" s="137"/>
      <c r="T436" s="137"/>
      <c r="U436" s="137"/>
    </row>
    <row r="437" spans="1:21" s="89" customFormat="1" x14ac:dyDescent="0.25">
      <c r="A437" s="315">
        <f t="shared" si="75"/>
        <v>-32.946542104111984</v>
      </c>
      <c r="B437" s="319">
        <f t="shared" si="76"/>
        <v>79.8980662189241</v>
      </c>
      <c r="C437" s="139">
        <f t="shared" si="77"/>
        <v>-3.0548662751832159</v>
      </c>
      <c r="D437" s="73">
        <f t="shared" si="74"/>
        <v>-32.946542104111984</v>
      </c>
      <c r="E437" s="159">
        <f t="shared" si="78"/>
        <v>-9.4211376260659785E-2</v>
      </c>
      <c r="F437" s="136">
        <f t="shared" si="79"/>
        <v>-1.8383725326735672</v>
      </c>
      <c r="G437" s="89">
        <f t="shared" si="80"/>
        <v>631.79650036943565</v>
      </c>
      <c r="H437" s="318">
        <f t="shared" si="81"/>
        <v>3.1064068158695876E-2</v>
      </c>
      <c r="I437" s="89">
        <f t="shared" si="82"/>
        <v>19.626169549901672</v>
      </c>
      <c r="J437" s="316">
        <f t="shared" si="85"/>
        <v>33</v>
      </c>
      <c r="K437" s="89">
        <f t="shared" si="83"/>
        <v>20.637237924099114</v>
      </c>
      <c r="M437" s="139"/>
      <c r="N437" s="139"/>
      <c r="O437" s="139"/>
      <c r="P437" s="139"/>
      <c r="Q437" s="139"/>
      <c r="R437" s="138"/>
      <c r="S437" s="137"/>
      <c r="T437" s="137"/>
      <c r="U437" s="137"/>
    </row>
    <row r="438" spans="1:21" s="89" customFormat="1" x14ac:dyDescent="0.25">
      <c r="A438" s="315">
        <f t="shared" si="75"/>
        <v>-33.946542104111984</v>
      </c>
      <c r="B438" s="319">
        <f t="shared" si="76"/>
        <v>82.323148218924104</v>
      </c>
      <c r="C438" s="139">
        <f t="shared" si="77"/>
        <v>-3.1475881840721591</v>
      </c>
      <c r="D438" s="73">
        <f t="shared" si="74"/>
        <v>-33.946542104111984</v>
      </c>
      <c r="E438" s="159">
        <f t="shared" si="78"/>
        <v>-9.4211376260659785E-2</v>
      </c>
      <c r="F438" s="136">
        <f t="shared" si="79"/>
        <v>-1.8383725326735672</v>
      </c>
      <c r="G438" s="89">
        <f t="shared" si="80"/>
        <v>650.97291343193376</v>
      </c>
      <c r="H438" s="318">
        <f t="shared" si="81"/>
        <v>3.1064068158695876E-2</v>
      </c>
      <c r="I438" s="89">
        <f t="shared" si="82"/>
        <v>20.221866952314421</v>
      </c>
      <c r="J438" s="316">
        <f t="shared" si="85"/>
        <v>34</v>
      </c>
      <c r="K438" s="89">
        <f t="shared" si="83"/>
        <v>20.330999046041189</v>
      </c>
      <c r="M438" s="139"/>
      <c r="N438" s="139"/>
      <c r="O438" s="139"/>
      <c r="P438" s="139"/>
      <c r="Q438" s="139"/>
      <c r="R438" s="138"/>
      <c r="S438" s="137"/>
      <c r="T438" s="137"/>
      <c r="U438" s="137"/>
    </row>
    <row r="439" spans="1:21" s="89" customFormat="1" x14ac:dyDescent="0.25">
      <c r="A439" s="315">
        <f t="shared" si="75"/>
        <v>-34.946542104111984</v>
      </c>
      <c r="B439" s="319">
        <f t="shared" si="76"/>
        <v>84.748230218924107</v>
      </c>
      <c r="C439" s="139">
        <f t="shared" si="77"/>
        <v>-3.2403100929611028</v>
      </c>
      <c r="D439" s="73">
        <f t="shared" si="74"/>
        <v>-34.946542104111984</v>
      </c>
      <c r="E439" s="159">
        <f t="shared" si="78"/>
        <v>-9.4211376260659785E-2</v>
      </c>
      <c r="F439" s="136">
        <f t="shared" si="79"/>
        <v>-1.8383725326735672</v>
      </c>
      <c r="G439" s="89">
        <f t="shared" si="80"/>
        <v>670.14932649443188</v>
      </c>
      <c r="H439" s="318">
        <f t="shared" si="81"/>
        <v>3.1064068158695876E-2</v>
      </c>
      <c r="I439" s="89">
        <f t="shared" si="82"/>
        <v>20.817564354727168</v>
      </c>
      <c r="J439" s="316">
        <f t="shared" si="85"/>
        <v>35</v>
      </c>
      <c r="K439" s="89">
        <f t="shared" si="83"/>
        <v>20.038000650452947</v>
      </c>
      <c r="M439" s="139"/>
      <c r="N439" s="139"/>
      <c r="O439" s="139"/>
      <c r="P439" s="139"/>
      <c r="Q439" s="139"/>
      <c r="R439" s="138"/>
      <c r="S439" s="137"/>
      <c r="T439" s="137"/>
      <c r="U439" s="137"/>
    </row>
    <row r="440" spans="1:21" s="89" customFormat="1" x14ac:dyDescent="0.25">
      <c r="A440">
        <v>0</v>
      </c>
      <c r="B440" s="319">
        <f t="shared" si="76"/>
        <v>0</v>
      </c>
      <c r="C440" s="139">
        <f t="shared" si="77"/>
        <v>0</v>
      </c>
      <c r="D440" s="73">
        <f t="shared" si="74"/>
        <v>0</v>
      </c>
      <c r="E440" s="159">
        <f t="shared" si="78"/>
        <v>-9.4211376260659785E-2</v>
      </c>
      <c r="F440" s="136">
        <f t="shared" si="79"/>
        <v>-1.8383725326735672</v>
      </c>
      <c r="G440" s="89">
        <f t="shared" si="80"/>
        <v>0</v>
      </c>
      <c r="H440" s="318">
        <f t="shared" si="81"/>
        <v>3.1064068158695876E-2</v>
      </c>
      <c r="I440" s="89">
        <f t="shared" si="82"/>
        <v>0</v>
      </c>
      <c r="J440" s="316">
        <f t="shared" si="85"/>
        <v>5.3457895888013973E-2</v>
      </c>
      <c r="K440" s="89" t="e">
        <f t="shared" si="83"/>
        <v>#DIV/0!</v>
      </c>
      <c r="M440" s="139"/>
      <c r="N440" s="139"/>
      <c r="O440" s="139"/>
      <c r="P440" s="139"/>
      <c r="Q440" s="139"/>
      <c r="R440" s="138"/>
      <c r="S440" s="137"/>
      <c r="T440" s="137"/>
      <c r="U440" s="137"/>
    </row>
    <row r="441" spans="1:21" s="89" customFormat="1" x14ac:dyDescent="0.25">
      <c r="A441"/>
      <c r="B441"/>
      <c r="C441"/>
      <c r="D441" s="136"/>
      <c r="E441" s="136"/>
      <c r="M441" s="139"/>
      <c r="N441" s="139"/>
      <c r="O441" s="139"/>
      <c r="P441" s="139"/>
      <c r="Q441" s="139"/>
      <c r="R441" s="138"/>
      <c r="S441" s="137"/>
      <c r="T441" s="137"/>
      <c r="U441" s="137"/>
    </row>
    <row r="442" spans="1:21" s="89" customFormat="1" x14ac:dyDescent="0.25">
      <c r="A442"/>
      <c r="B442"/>
      <c r="C442"/>
      <c r="D442" s="136"/>
      <c r="E442" s="136"/>
      <c r="M442" s="139"/>
      <c r="N442" s="139"/>
      <c r="O442" s="139"/>
      <c r="P442" s="139"/>
      <c r="Q442" s="139"/>
      <c r="R442" s="138"/>
      <c r="S442" s="137"/>
      <c r="T442" s="137"/>
      <c r="U442" s="137"/>
    </row>
    <row r="443" spans="1:21" s="89" customFormat="1" x14ac:dyDescent="0.25">
      <c r="A443"/>
      <c r="B443"/>
      <c r="C443"/>
      <c r="D443" s="136"/>
      <c r="E443" s="136"/>
      <c r="M443" s="139"/>
      <c r="N443" s="139"/>
      <c r="O443" s="139"/>
      <c r="P443" s="139"/>
      <c r="Q443" s="139"/>
      <c r="R443" s="138"/>
      <c r="S443" s="137"/>
      <c r="T443" s="137"/>
      <c r="U443" s="137"/>
    </row>
    <row r="444" spans="1:21" s="89" customFormat="1" x14ac:dyDescent="0.25">
      <c r="A444"/>
      <c r="B444"/>
      <c r="C444"/>
      <c r="D444" s="136"/>
      <c r="E444" s="136"/>
      <c r="M444" s="139"/>
      <c r="N444" s="139"/>
      <c r="O444" s="139"/>
      <c r="P444" s="139"/>
      <c r="Q444" s="139"/>
      <c r="R444" s="138"/>
      <c r="S444" s="137"/>
      <c r="T444" s="137"/>
      <c r="U444" s="137"/>
    </row>
    <row r="445" spans="1:21" s="89" customFormat="1" x14ac:dyDescent="0.25">
      <c r="A445"/>
      <c r="B445"/>
      <c r="C445"/>
      <c r="D445" s="136"/>
      <c r="E445" s="136"/>
      <c r="M445" s="139"/>
      <c r="N445" s="139"/>
      <c r="O445" s="139"/>
      <c r="P445" s="139"/>
      <c r="Q445" s="139"/>
      <c r="R445" s="138"/>
      <c r="S445" s="137"/>
      <c r="T445" s="137"/>
      <c r="U445" s="137"/>
    </row>
    <row r="446" spans="1:21" s="89" customFormat="1" x14ac:dyDescent="0.25">
      <c r="A446"/>
      <c r="B446"/>
      <c r="C446"/>
      <c r="D446" s="136"/>
      <c r="E446" s="136"/>
      <c r="M446" s="139"/>
      <c r="N446" s="139"/>
      <c r="O446" s="139"/>
      <c r="P446" s="139"/>
      <c r="Q446" s="139"/>
      <c r="R446" s="138"/>
      <c r="S446" s="137"/>
      <c r="T446" s="137"/>
      <c r="U446" s="137"/>
    </row>
    <row r="447" spans="1:21" s="89" customFormat="1" x14ac:dyDescent="0.25">
      <c r="A447"/>
      <c r="B447"/>
      <c r="C447"/>
      <c r="D447" s="136"/>
      <c r="E447" s="136"/>
      <c r="M447" s="139"/>
      <c r="N447" s="139"/>
      <c r="O447" s="139"/>
      <c r="P447" s="139"/>
      <c r="Q447" s="139"/>
      <c r="R447" s="138"/>
      <c r="S447" s="137"/>
      <c r="T447" s="137"/>
      <c r="U447" s="137"/>
    </row>
    <row r="448" spans="1:21" s="89" customFormat="1" x14ac:dyDescent="0.25">
      <c r="A448"/>
      <c r="B448"/>
      <c r="C448"/>
      <c r="D448" s="136"/>
      <c r="E448" s="136"/>
      <c r="M448" s="139"/>
      <c r="N448" s="139"/>
      <c r="O448" s="139"/>
      <c r="P448" s="139"/>
      <c r="Q448" s="139"/>
      <c r="R448" s="138"/>
      <c r="S448" s="137"/>
      <c r="T448" s="137"/>
      <c r="U448" s="137"/>
    </row>
    <row r="449" spans="1:21" s="89" customFormat="1" x14ac:dyDescent="0.25">
      <c r="A449"/>
      <c r="B449"/>
      <c r="C449"/>
      <c r="D449" s="136"/>
      <c r="E449" s="136"/>
      <c r="M449" s="139"/>
      <c r="N449" s="139"/>
      <c r="O449" s="139"/>
      <c r="P449" s="139"/>
      <c r="Q449" s="139"/>
      <c r="R449" s="138"/>
      <c r="S449" s="137"/>
      <c r="T449" s="137"/>
      <c r="U449" s="137"/>
    </row>
    <row r="450" spans="1:21" s="89" customFormat="1" x14ac:dyDescent="0.25">
      <c r="A450"/>
      <c r="B450"/>
      <c r="C450"/>
      <c r="D450" s="136"/>
      <c r="E450" s="136"/>
      <c r="M450" s="139"/>
      <c r="N450" s="139"/>
      <c r="O450" s="139"/>
      <c r="P450" s="139"/>
      <c r="Q450" s="139"/>
      <c r="R450" s="138"/>
      <c r="S450" s="137"/>
      <c r="T450" s="137"/>
      <c r="U450" s="137"/>
    </row>
    <row r="451" spans="1:21" s="89" customFormat="1" x14ac:dyDescent="0.25">
      <c r="A451"/>
      <c r="B451"/>
      <c r="C451"/>
      <c r="D451" s="136"/>
      <c r="E451" s="136"/>
      <c r="M451" s="139"/>
      <c r="N451" s="139"/>
      <c r="O451" s="139"/>
      <c r="P451" s="139"/>
      <c r="Q451" s="139"/>
      <c r="R451" s="138"/>
      <c r="S451" s="137"/>
      <c r="T451" s="137"/>
      <c r="U451" s="137"/>
    </row>
    <row r="452" spans="1:21" s="89" customFormat="1" x14ac:dyDescent="0.25">
      <c r="A452"/>
      <c r="B452"/>
      <c r="C452"/>
      <c r="D452" s="136"/>
      <c r="E452" s="136"/>
      <c r="M452" s="139"/>
      <c r="N452" s="139"/>
      <c r="O452" s="139"/>
      <c r="P452" s="139"/>
      <c r="Q452" s="139"/>
      <c r="R452" s="138"/>
      <c r="S452" s="137"/>
      <c r="T452" s="137"/>
      <c r="U452" s="137"/>
    </row>
    <row r="453" spans="1:21" s="89" customFormat="1" x14ac:dyDescent="0.25">
      <c r="A453"/>
      <c r="B453"/>
      <c r="C453"/>
      <c r="D453" s="136"/>
      <c r="E453" s="136"/>
      <c r="M453" s="139"/>
      <c r="N453" s="139"/>
      <c r="O453" s="139"/>
      <c r="P453" s="139"/>
      <c r="Q453" s="139"/>
      <c r="R453" s="138"/>
      <c r="S453" s="137"/>
      <c r="T453" s="137"/>
      <c r="U453" s="137"/>
    </row>
    <row r="454" spans="1:21" s="89" customFormat="1" x14ac:dyDescent="0.25">
      <c r="A454"/>
      <c r="B454"/>
      <c r="C454"/>
      <c r="D454" s="136"/>
      <c r="E454" s="136"/>
      <c r="M454" s="139"/>
      <c r="N454" s="139"/>
      <c r="O454" s="139"/>
      <c r="P454" s="139"/>
      <c r="Q454" s="139"/>
      <c r="R454" s="138"/>
      <c r="S454" s="137"/>
      <c r="T454" s="137"/>
      <c r="U454" s="137"/>
    </row>
    <row r="455" spans="1:21" s="89" customFormat="1" x14ac:dyDescent="0.25">
      <c r="A455"/>
      <c r="B455"/>
      <c r="C455"/>
      <c r="D455" s="136"/>
      <c r="E455" s="136"/>
      <c r="M455" s="139"/>
      <c r="N455" s="139"/>
      <c r="O455" s="139"/>
      <c r="P455" s="139"/>
      <c r="Q455" s="139"/>
      <c r="R455" s="138"/>
      <c r="S455" s="137"/>
      <c r="T455" s="137"/>
      <c r="U455" s="137"/>
    </row>
    <row r="456" spans="1:21" s="89" customFormat="1" x14ac:dyDescent="0.25">
      <c r="A456"/>
      <c r="B456"/>
      <c r="C456"/>
      <c r="D456" s="136"/>
      <c r="E456" s="136"/>
      <c r="M456" s="139"/>
      <c r="N456" s="139"/>
      <c r="O456" s="139"/>
      <c r="P456" s="139"/>
      <c r="Q456" s="139"/>
      <c r="R456" s="138"/>
      <c r="S456" s="137"/>
      <c r="T456" s="137"/>
      <c r="U456" s="137"/>
    </row>
    <row r="457" spans="1:21" s="89" customFormat="1" x14ac:dyDescent="0.25">
      <c r="A457"/>
      <c r="B457"/>
      <c r="C457"/>
      <c r="D457" s="136"/>
      <c r="E457" s="136"/>
      <c r="M457" s="139"/>
      <c r="N457" s="139"/>
      <c r="O457" s="139"/>
      <c r="P457" s="139"/>
      <c r="Q457" s="139"/>
      <c r="R457" s="138"/>
      <c r="S457" s="137"/>
      <c r="T457" s="137"/>
      <c r="U457" s="137"/>
    </row>
    <row r="458" spans="1:21" s="89" customFormat="1" x14ac:dyDescent="0.25">
      <c r="A458"/>
      <c r="B458"/>
      <c r="C458"/>
      <c r="D458" s="136"/>
      <c r="E458" s="136"/>
      <c r="M458" s="139"/>
      <c r="N458" s="139"/>
      <c r="O458" s="139"/>
      <c r="P458" s="139"/>
      <c r="Q458" s="139"/>
      <c r="R458" s="138"/>
      <c r="S458" s="137"/>
      <c r="T458" s="137"/>
      <c r="U458" s="137"/>
    </row>
    <row r="459" spans="1:21" s="89" customFormat="1" x14ac:dyDescent="0.25">
      <c r="A459"/>
      <c r="B459"/>
      <c r="C459"/>
      <c r="D459" s="136"/>
      <c r="E459" s="136"/>
      <c r="M459" s="139"/>
      <c r="N459" s="139"/>
      <c r="O459" s="139"/>
      <c r="P459" s="139"/>
      <c r="Q459" s="139"/>
      <c r="R459" s="138"/>
      <c r="S459" s="137"/>
      <c r="T459" s="137"/>
      <c r="U459" s="137"/>
    </row>
    <row r="460" spans="1:21" s="89" customFormat="1" x14ac:dyDescent="0.25">
      <c r="A460"/>
      <c r="B460"/>
      <c r="C460"/>
      <c r="D460" s="136"/>
      <c r="E460" s="136"/>
      <c r="M460" s="139"/>
      <c r="N460" s="139"/>
      <c r="O460" s="139"/>
      <c r="P460" s="139"/>
      <c r="Q460" s="139"/>
      <c r="R460" s="138"/>
      <c r="S460" s="137"/>
      <c r="T460" s="137"/>
      <c r="U460" s="137"/>
    </row>
    <row r="461" spans="1:21" s="89" customFormat="1" x14ac:dyDescent="0.25">
      <c r="A461"/>
      <c r="B461"/>
      <c r="C461"/>
      <c r="D461" s="136"/>
      <c r="E461" s="136"/>
      <c r="M461" s="139"/>
      <c r="N461" s="139"/>
      <c r="O461" s="139"/>
      <c r="P461" s="139"/>
      <c r="Q461" s="139"/>
      <c r="R461" s="138"/>
      <c r="S461" s="137"/>
      <c r="T461" s="137"/>
      <c r="U461" s="137"/>
    </row>
    <row r="462" spans="1:21" s="89" customFormat="1" x14ac:dyDescent="0.25">
      <c r="A462"/>
      <c r="B462"/>
      <c r="C462"/>
      <c r="D462" s="136"/>
      <c r="E462" s="136"/>
      <c r="M462" s="139"/>
      <c r="N462" s="139"/>
      <c r="O462" s="139"/>
      <c r="P462" s="139"/>
      <c r="Q462" s="139"/>
      <c r="R462" s="138"/>
      <c r="S462" s="137"/>
      <c r="T462" s="137"/>
      <c r="U462" s="137"/>
    </row>
    <row r="463" spans="1:21" s="89" customFormat="1" x14ac:dyDescent="0.25">
      <c r="A463"/>
      <c r="B463"/>
      <c r="C463"/>
      <c r="D463" s="136"/>
      <c r="E463" s="136"/>
      <c r="M463" s="139"/>
      <c r="N463" s="139"/>
      <c r="O463" s="139"/>
      <c r="P463" s="139"/>
      <c r="Q463" s="139"/>
      <c r="R463" s="138"/>
      <c r="S463" s="137"/>
      <c r="T463" s="137"/>
      <c r="U463" s="137"/>
    </row>
    <row r="464" spans="1:21" s="89" customFormat="1" x14ac:dyDescent="0.25">
      <c r="A464"/>
      <c r="B464"/>
      <c r="C464"/>
      <c r="D464" s="136"/>
      <c r="E464" s="136"/>
      <c r="M464" s="139"/>
      <c r="N464" s="139"/>
      <c r="O464" s="139"/>
      <c r="P464" s="139"/>
      <c r="Q464" s="139"/>
      <c r="R464" s="138"/>
      <c r="S464" s="137"/>
      <c r="T464" s="137"/>
      <c r="U464" s="137"/>
    </row>
    <row r="465" spans="1:21" s="89" customFormat="1" x14ac:dyDescent="0.25">
      <c r="A465"/>
      <c r="B465"/>
      <c r="C465"/>
      <c r="D465" s="136"/>
      <c r="E465" s="136"/>
      <c r="M465" s="139"/>
      <c r="N465" s="139"/>
      <c r="O465" s="139"/>
      <c r="P465" s="139"/>
      <c r="Q465" s="139"/>
      <c r="R465" s="138"/>
      <c r="S465" s="137"/>
      <c r="T465" s="137"/>
      <c r="U465" s="137"/>
    </row>
    <row r="466" spans="1:21" s="89" customFormat="1" x14ac:dyDescent="0.25">
      <c r="A466"/>
      <c r="B466"/>
      <c r="C466"/>
      <c r="D466" s="136"/>
      <c r="E466" s="136"/>
      <c r="M466" s="139"/>
      <c r="N466" s="139"/>
      <c r="O466" s="139"/>
      <c r="P466" s="139"/>
      <c r="Q466" s="139"/>
      <c r="R466" s="138"/>
      <c r="S466" s="137"/>
      <c r="T466" s="137"/>
      <c r="U466" s="137"/>
    </row>
    <row r="467" spans="1:21" s="89" customFormat="1" x14ac:dyDescent="0.25">
      <c r="A467"/>
      <c r="B467"/>
      <c r="C467"/>
      <c r="D467" s="136"/>
      <c r="E467" s="136"/>
      <c r="M467" s="139"/>
      <c r="N467" s="139"/>
      <c r="O467" s="139"/>
      <c r="P467" s="139"/>
      <c r="Q467" s="139"/>
      <c r="R467" s="138"/>
      <c r="S467" s="137"/>
      <c r="T467" s="137"/>
      <c r="U467" s="137"/>
    </row>
    <row r="468" spans="1:21" s="89" customFormat="1" x14ac:dyDescent="0.25">
      <c r="A468"/>
      <c r="B468"/>
      <c r="C468"/>
      <c r="D468" s="136"/>
      <c r="E468" s="136"/>
      <c r="M468" s="139"/>
      <c r="N468" s="139"/>
      <c r="O468" s="139"/>
      <c r="P468" s="139"/>
      <c r="Q468" s="139"/>
      <c r="R468" s="138"/>
      <c r="S468" s="137"/>
      <c r="T468" s="137"/>
      <c r="U468" s="137"/>
    </row>
    <row r="469" spans="1:21" s="89" customFormat="1" x14ac:dyDescent="0.25">
      <c r="A469"/>
      <c r="B469"/>
      <c r="C469"/>
      <c r="D469" s="136"/>
      <c r="E469" s="136"/>
      <c r="M469" s="139"/>
      <c r="N469" s="139"/>
      <c r="O469" s="139"/>
      <c r="P469" s="139"/>
      <c r="Q469" s="139"/>
      <c r="R469" s="138"/>
      <c r="S469" s="137"/>
      <c r="T469" s="137"/>
      <c r="U469" s="137"/>
    </row>
    <row r="470" spans="1:21" s="89" customFormat="1" x14ac:dyDescent="0.25">
      <c r="A470"/>
      <c r="B470"/>
      <c r="C470"/>
      <c r="D470" s="136"/>
      <c r="E470" s="136"/>
      <c r="M470" s="139"/>
      <c r="N470" s="139"/>
      <c r="O470" s="139"/>
      <c r="P470" s="139"/>
      <c r="Q470" s="139"/>
      <c r="R470" s="138"/>
      <c r="S470" s="137"/>
      <c r="T470" s="137"/>
      <c r="U470" s="137"/>
    </row>
    <row r="471" spans="1:21" s="89" customFormat="1" x14ac:dyDescent="0.25">
      <c r="A471"/>
      <c r="B471"/>
      <c r="C471"/>
      <c r="D471" s="136"/>
      <c r="E471" s="136"/>
      <c r="M471" s="139"/>
      <c r="N471" s="139"/>
      <c r="O471" s="139"/>
      <c r="P471" s="139"/>
      <c r="Q471" s="139"/>
      <c r="R471" s="138"/>
      <c r="S471" s="137"/>
      <c r="T471" s="137"/>
      <c r="U471" s="137"/>
    </row>
    <row r="472" spans="1:21" s="89" customFormat="1" x14ac:dyDescent="0.25">
      <c r="A472"/>
      <c r="B472"/>
      <c r="C472"/>
      <c r="D472" s="136"/>
      <c r="E472" s="136"/>
      <c r="M472" s="139"/>
      <c r="N472" s="139"/>
      <c r="O472" s="139"/>
      <c r="P472" s="139"/>
      <c r="Q472" s="139"/>
      <c r="R472" s="138"/>
      <c r="S472" s="137"/>
      <c r="T472" s="137"/>
      <c r="U472" s="137"/>
    </row>
    <row r="473" spans="1:21" s="89" customFormat="1" x14ac:dyDescent="0.25">
      <c r="A473"/>
      <c r="B473"/>
      <c r="C473"/>
      <c r="D473" s="136"/>
      <c r="E473" s="136"/>
      <c r="M473" s="139"/>
      <c r="N473" s="139"/>
      <c r="O473" s="139"/>
      <c r="P473" s="139"/>
      <c r="Q473" s="139"/>
      <c r="R473" s="138"/>
      <c r="S473" s="137"/>
      <c r="T473" s="137"/>
      <c r="U473" s="137"/>
    </row>
    <row r="474" spans="1:21" s="89" customFormat="1" x14ac:dyDescent="0.25">
      <c r="A474"/>
      <c r="B474"/>
      <c r="C474"/>
      <c r="D474" s="136"/>
      <c r="E474" s="136"/>
      <c r="M474" s="139"/>
      <c r="N474" s="139"/>
      <c r="O474" s="139"/>
      <c r="P474" s="139"/>
      <c r="Q474" s="139"/>
      <c r="R474" s="138"/>
      <c r="S474" s="137"/>
      <c r="T474" s="137"/>
      <c r="U474" s="137"/>
    </row>
    <row r="475" spans="1:21" s="89" customFormat="1" x14ac:dyDescent="0.25">
      <c r="A475"/>
      <c r="B475"/>
      <c r="C475"/>
      <c r="D475" s="136"/>
      <c r="E475" s="136"/>
      <c r="M475" s="139"/>
      <c r="N475" s="139"/>
      <c r="O475" s="139"/>
      <c r="P475" s="139"/>
      <c r="Q475" s="139"/>
      <c r="R475" s="138"/>
      <c r="S475" s="137"/>
      <c r="T475" s="137"/>
      <c r="U475" s="137"/>
    </row>
    <row r="476" spans="1:21" s="89" customFormat="1" x14ac:dyDescent="0.25">
      <c r="A476"/>
      <c r="B476"/>
      <c r="C476"/>
      <c r="D476" s="136"/>
      <c r="E476" s="136"/>
      <c r="M476" s="139"/>
      <c r="N476" s="139"/>
      <c r="O476" s="139"/>
      <c r="P476" s="139"/>
      <c r="Q476" s="139"/>
      <c r="R476" s="138"/>
      <c r="S476" s="137"/>
      <c r="T476" s="137"/>
      <c r="U476" s="137"/>
    </row>
    <row r="477" spans="1:21" s="89" customFormat="1" x14ac:dyDescent="0.25">
      <c r="A477"/>
      <c r="B477"/>
      <c r="C477"/>
      <c r="D477" s="136"/>
      <c r="E477" s="136"/>
      <c r="M477" s="139"/>
      <c r="N477" s="139"/>
      <c r="O477" s="139"/>
      <c r="P477" s="139"/>
      <c r="Q477" s="139"/>
      <c r="R477" s="138"/>
      <c r="S477" s="137"/>
      <c r="T477" s="137"/>
      <c r="U477" s="137"/>
    </row>
    <row r="478" spans="1:21" s="89" customFormat="1" x14ac:dyDescent="0.25">
      <c r="A478"/>
      <c r="B478"/>
      <c r="C478"/>
      <c r="D478" s="136"/>
      <c r="E478" s="136"/>
      <c r="M478" s="139"/>
      <c r="N478" s="139"/>
      <c r="O478" s="139"/>
      <c r="P478" s="139"/>
      <c r="Q478" s="139"/>
      <c r="R478" s="138"/>
      <c r="S478" s="137"/>
      <c r="T478" s="137"/>
      <c r="U478" s="137"/>
    </row>
    <row r="479" spans="1:21" s="89" customFormat="1" x14ac:dyDescent="0.25">
      <c r="A479"/>
      <c r="B479"/>
      <c r="C479"/>
      <c r="D479" s="136"/>
      <c r="E479" s="136"/>
      <c r="M479" s="139"/>
      <c r="N479" s="139"/>
      <c r="O479" s="139"/>
      <c r="P479" s="139"/>
      <c r="Q479" s="139"/>
      <c r="R479" s="138"/>
      <c r="S479" s="137"/>
      <c r="T479" s="137"/>
      <c r="U479" s="137"/>
    </row>
    <row r="480" spans="1:21" s="89" customFormat="1" x14ac:dyDescent="0.25">
      <c r="A480"/>
      <c r="B480"/>
      <c r="C480"/>
      <c r="D480" s="136"/>
      <c r="E480" s="136"/>
      <c r="M480" s="139"/>
      <c r="N480" s="139"/>
      <c r="O480" s="139"/>
      <c r="P480" s="139"/>
      <c r="Q480" s="139"/>
      <c r="R480" s="138"/>
      <c r="S480" s="137"/>
      <c r="T480" s="137"/>
      <c r="U480" s="137"/>
    </row>
    <row r="481" spans="1:21" s="89" customFormat="1" x14ac:dyDescent="0.25">
      <c r="A481"/>
      <c r="B481"/>
      <c r="C481"/>
      <c r="D481" s="136"/>
      <c r="E481" s="136"/>
      <c r="M481" s="139"/>
      <c r="N481" s="139"/>
      <c r="O481" s="139"/>
      <c r="P481" s="139"/>
      <c r="Q481" s="139"/>
      <c r="R481" s="138"/>
      <c r="S481" s="137"/>
      <c r="T481" s="137"/>
      <c r="U481" s="137"/>
    </row>
    <row r="482" spans="1:21" s="89" customFormat="1" x14ac:dyDescent="0.25">
      <c r="A482"/>
      <c r="B482"/>
      <c r="C482"/>
      <c r="D482" s="136"/>
      <c r="E482" s="136"/>
      <c r="M482" s="139"/>
      <c r="N482" s="139"/>
      <c r="O482" s="139"/>
      <c r="P482" s="139"/>
      <c r="Q482" s="139"/>
      <c r="R482" s="138"/>
      <c r="S482" s="137"/>
      <c r="T482" s="137"/>
      <c r="U482" s="137"/>
    </row>
    <row r="483" spans="1:21" s="89" customFormat="1" x14ac:dyDescent="0.25">
      <c r="A483"/>
      <c r="B483"/>
      <c r="C483"/>
      <c r="D483" s="136"/>
      <c r="E483" s="136"/>
      <c r="M483" s="139"/>
      <c r="N483" s="139"/>
      <c r="O483" s="139"/>
      <c r="P483" s="139"/>
      <c r="Q483" s="139"/>
      <c r="R483" s="138"/>
      <c r="S483" s="137"/>
      <c r="T483" s="137"/>
      <c r="U483" s="137"/>
    </row>
    <row r="484" spans="1:21" s="89" customFormat="1" x14ac:dyDescent="0.25">
      <c r="A484"/>
      <c r="B484"/>
      <c r="C484"/>
      <c r="D484" s="136"/>
      <c r="E484" s="136"/>
      <c r="M484" s="139"/>
      <c r="N484" s="139"/>
      <c r="O484" s="139"/>
      <c r="P484" s="139"/>
      <c r="Q484" s="139"/>
      <c r="R484" s="138"/>
      <c r="S484" s="137"/>
      <c r="T484" s="137"/>
      <c r="U484" s="137"/>
    </row>
    <row r="485" spans="1:21" s="89" customFormat="1" x14ac:dyDescent="0.25">
      <c r="A485"/>
      <c r="B485"/>
      <c r="C485"/>
      <c r="D485" s="136"/>
      <c r="E485" s="136"/>
      <c r="M485" s="139"/>
      <c r="N485" s="139"/>
      <c r="O485" s="139"/>
      <c r="P485" s="139"/>
      <c r="Q485" s="139"/>
      <c r="R485" s="138"/>
      <c r="S485" s="137"/>
      <c r="T485" s="137"/>
      <c r="U485" s="137"/>
    </row>
    <row r="486" spans="1:21" s="89" customFormat="1" x14ac:dyDescent="0.25">
      <c r="A486"/>
      <c r="B486"/>
      <c r="C486"/>
      <c r="D486" s="136"/>
      <c r="E486" s="136"/>
      <c r="M486" s="139"/>
      <c r="N486" s="139"/>
      <c r="O486" s="139"/>
      <c r="P486" s="139"/>
      <c r="Q486" s="139"/>
      <c r="R486" s="138"/>
      <c r="S486" s="137"/>
      <c r="T486" s="137"/>
      <c r="U486" s="137"/>
    </row>
    <row r="487" spans="1:21" s="89" customFormat="1" x14ac:dyDescent="0.25">
      <c r="A487"/>
      <c r="B487"/>
      <c r="C487"/>
      <c r="D487" s="136"/>
      <c r="E487" s="136"/>
      <c r="M487" s="139"/>
      <c r="N487" s="139"/>
      <c r="O487" s="139"/>
      <c r="P487" s="139"/>
      <c r="Q487" s="139"/>
      <c r="R487" s="138"/>
      <c r="S487" s="137"/>
      <c r="T487" s="137"/>
      <c r="U487" s="137"/>
    </row>
    <row r="488" spans="1:21" s="89" customFormat="1" x14ac:dyDescent="0.25">
      <c r="A488"/>
      <c r="B488"/>
      <c r="C488"/>
      <c r="D488" s="136"/>
      <c r="E488" s="136"/>
      <c r="M488" s="139"/>
      <c r="N488" s="139"/>
      <c r="O488" s="139"/>
      <c r="P488" s="139"/>
      <c r="Q488" s="139"/>
      <c r="R488" s="138"/>
      <c r="S488" s="137"/>
      <c r="T488" s="137"/>
      <c r="U488" s="137"/>
    </row>
    <row r="489" spans="1:21" s="89" customFormat="1" x14ac:dyDescent="0.25">
      <c r="A489"/>
      <c r="B489"/>
      <c r="C489"/>
      <c r="D489" s="136"/>
      <c r="E489" s="136"/>
      <c r="M489" s="139"/>
      <c r="N489" s="139"/>
      <c r="O489" s="139"/>
      <c r="P489" s="139"/>
      <c r="Q489" s="139"/>
      <c r="R489" s="138"/>
      <c r="S489" s="137"/>
      <c r="T489" s="137"/>
      <c r="U489" s="137"/>
    </row>
    <row r="490" spans="1:21" s="89" customFormat="1" x14ac:dyDescent="0.25">
      <c r="A490"/>
      <c r="B490"/>
      <c r="C490"/>
      <c r="D490" s="136"/>
      <c r="E490" s="136"/>
      <c r="M490" s="139"/>
      <c r="N490" s="139"/>
      <c r="O490" s="139"/>
      <c r="P490" s="139"/>
      <c r="Q490" s="139"/>
      <c r="R490" s="138"/>
      <c r="S490" s="137"/>
      <c r="T490" s="137"/>
      <c r="U490" s="137"/>
    </row>
    <row r="491" spans="1:21" s="89" customFormat="1" x14ac:dyDescent="0.25">
      <c r="A491"/>
      <c r="B491"/>
      <c r="C491"/>
      <c r="D491" s="136"/>
      <c r="E491" s="136"/>
      <c r="M491" s="139"/>
      <c r="N491" s="139"/>
      <c r="O491" s="139"/>
      <c r="P491" s="139"/>
      <c r="Q491" s="139"/>
      <c r="R491" s="138"/>
      <c r="S491" s="137"/>
      <c r="T491" s="137"/>
      <c r="U491" s="137"/>
    </row>
    <row r="492" spans="1:21" s="89" customFormat="1" x14ac:dyDescent="0.25">
      <c r="A492"/>
      <c r="B492"/>
      <c r="C492"/>
      <c r="D492" s="136"/>
      <c r="E492" s="136"/>
      <c r="M492" s="139"/>
      <c r="N492" s="139"/>
      <c r="O492" s="139"/>
      <c r="P492" s="139"/>
      <c r="Q492" s="139"/>
      <c r="R492" s="138"/>
      <c r="S492" s="137"/>
      <c r="T492" s="137"/>
      <c r="U492" s="137"/>
    </row>
    <row r="493" spans="1:21" s="89" customFormat="1" ht="15.75" thickBot="1" x14ac:dyDescent="0.3">
      <c r="A493" s="140"/>
      <c r="B493" s="19"/>
      <c r="C493" s="19"/>
      <c r="D493" s="139"/>
      <c r="E493" s="139"/>
      <c r="M493" s="139"/>
      <c r="N493" s="139"/>
      <c r="O493" s="139"/>
      <c r="P493" s="139"/>
      <c r="Q493" s="139"/>
      <c r="R493" s="138"/>
      <c r="S493" s="137"/>
      <c r="T493" s="137"/>
      <c r="U493" s="137"/>
    </row>
    <row r="494" spans="1:21" s="193" customFormat="1" x14ac:dyDescent="0.25">
      <c r="A494" s="198"/>
      <c r="D494" s="199"/>
      <c r="E494" s="199"/>
      <c r="M494" s="199"/>
      <c r="N494" s="199"/>
      <c r="O494" s="199"/>
      <c r="P494" s="199"/>
      <c r="Q494" s="199"/>
      <c r="R494" s="200"/>
      <c r="S494" s="201"/>
      <c r="T494" s="201"/>
      <c r="U494" s="201"/>
    </row>
    <row r="495" spans="1:21" x14ac:dyDescent="0.25">
      <c r="A495" s="59" t="s">
        <v>2038</v>
      </c>
      <c r="D495" s="136"/>
      <c r="E495" s="136"/>
      <c r="O495" s="136"/>
      <c r="S495" s="135"/>
      <c r="T495" s="135"/>
      <c r="U495" s="135"/>
    </row>
    <row r="496" spans="1:21" x14ac:dyDescent="0.25">
      <c r="D496" s="136"/>
      <c r="E496" s="136"/>
      <c r="O496" s="136"/>
      <c r="S496" s="135"/>
      <c r="T496" s="135"/>
      <c r="U496" s="135"/>
    </row>
    <row r="497" spans="4:21" x14ac:dyDescent="0.25">
      <c r="D497" s="136"/>
      <c r="E497" s="136"/>
      <c r="O497" s="136"/>
      <c r="S497" s="135"/>
      <c r="T497" s="135"/>
      <c r="U497" s="135"/>
    </row>
    <row r="498" spans="4:21" x14ac:dyDescent="0.25">
      <c r="D498" s="136"/>
      <c r="E498" s="136"/>
      <c r="O498" s="136"/>
      <c r="S498" s="135"/>
      <c r="T498" s="135"/>
      <c r="U498" s="135"/>
    </row>
    <row r="499" spans="4:21" x14ac:dyDescent="0.25">
      <c r="D499" s="136"/>
      <c r="E499" s="136"/>
      <c r="O499" s="136"/>
      <c r="S499" s="135"/>
      <c r="T499" s="135"/>
      <c r="U499" s="135"/>
    </row>
    <row r="500" spans="4:21" x14ac:dyDescent="0.25">
      <c r="D500" s="136"/>
      <c r="E500" s="136"/>
      <c r="O500" s="136"/>
      <c r="S500" s="135"/>
      <c r="T500" s="135"/>
      <c r="U500" s="135"/>
    </row>
    <row r="501" spans="4:21" x14ac:dyDescent="0.25">
      <c r="D501" s="136"/>
      <c r="E501" s="136"/>
      <c r="O501" s="136"/>
      <c r="S501" s="135"/>
      <c r="T501" s="135"/>
      <c r="U501" s="135"/>
    </row>
    <row r="502" spans="4:21" x14ac:dyDescent="0.25">
      <c r="D502" s="136"/>
      <c r="E502" s="136"/>
      <c r="O502" s="136"/>
      <c r="S502" s="135"/>
      <c r="T502" s="135"/>
      <c r="U502" s="135"/>
    </row>
    <row r="503" spans="4:21" x14ac:dyDescent="0.25">
      <c r="D503" s="136"/>
      <c r="E503" s="136"/>
      <c r="O503" s="136"/>
      <c r="S503" s="135"/>
      <c r="T503" s="135"/>
      <c r="U503" s="135"/>
    </row>
    <row r="504" spans="4:21" x14ac:dyDescent="0.25">
      <c r="D504" s="136"/>
      <c r="E504" s="136"/>
      <c r="O504" s="136"/>
      <c r="S504" s="135"/>
      <c r="T504" s="135"/>
      <c r="U504" s="135"/>
    </row>
    <row r="505" spans="4:21" x14ac:dyDescent="0.25">
      <c r="D505" s="136"/>
      <c r="E505" s="136"/>
      <c r="O505" s="136"/>
      <c r="S505" s="135"/>
      <c r="T505" s="135"/>
      <c r="U505" s="135"/>
    </row>
    <row r="506" spans="4:21" x14ac:dyDescent="0.25">
      <c r="D506" s="136"/>
      <c r="E506" s="136"/>
      <c r="O506" s="136"/>
      <c r="S506" s="135"/>
      <c r="T506" s="135"/>
      <c r="U506" s="135"/>
    </row>
    <row r="507" spans="4:21" x14ac:dyDescent="0.25">
      <c r="D507" s="136"/>
      <c r="E507" s="136"/>
      <c r="O507" s="136"/>
      <c r="S507" s="135"/>
      <c r="T507" s="135"/>
      <c r="U507" s="135"/>
    </row>
    <row r="508" spans="4:21" x14ac:dyDescent="0.25">
      <c r="D508" s="136"/>
      <c r="E508" s="136"/>
      <c r="O508" s="136"/>
      <c r="S508" s="135"/>
      <c r="T508" s="135"/>
      <c r="U508" s="135"/>
    </row>
    <row r="509" spans="4:21" x14ac:dyDescent="0.25">
      <c r="D509" s="136"/>
      <c r="E509" s="136"/>
      <c r="O509" s="136"/>
      <c r="S509" s="135"/>
      <c r="T509" s="135"/>
      <c r="U509" s="135"/>
    </row>
    <row r="510" spans="4:21" x14ac:dyDescent="0.25">
      <c r="D510" s="136"/>
      <c r="E510" s="136"/>
      <c r="O510" s="136"/>
      <c r="P510" t="s">
        <v>2259</v>
      </c>
      <c r="S510" s="135"/>
      <c r="T510" s="135"/>
      <c r="U510" s="135"/>
    </row>
    <row r="511" spans="4:21" x14ac:dyDescent="0.25">
      <c r="D511" s="136"/>
      <c r="E511" s="136"/>
      <c r="O511" s="136"/>
      <c r="P511" t="s">
        <v>1838</v>
      </c>
      <c r="Q511">
        <v>0</v>
      </c>
      <c r="S511" s="135"/>
      <c r="T511" s="135"/>
      <c r="U511" s="135"/>
    </row>
    <row r="512" spans="4:21" x14ac:dyDescent="0.25">
      <c r="D512" s="136"/>
      <c r="E512" s="136"/>
      <c r="O512" s="136"/>
      <c r="P512" t="s">
        <v>1864</v>
      </c>
      <c r="Q512">
        <v>0</v>
      </c>
      <c r="S512" s="135"/>
      <c r="T512" s="135"/>
      <c r="U512" s="135"/>
    </row>
    <row r="513" spans="4:27" x14ac:dyDescent="0.25">
      <c r="D513" s="136"/>
      <c r="E513" s="136"/>
      <c r="O513" s="136"/>
      <c r="S513" s="135"/>
      <c r="T513" s="135"/>
      <c r="U513" s="135"/>
    </row>
    <row r="514" spans="4:27" x14ac:dyDescent="0.25">
      <c r="D514" s="136"/>
      <c r="E514" s="136"/>
      <c r="O514" s="136"/>
      <c r="P514" s="20" t="str">
        <f>IF(A140="","",A140)</f>
        <v>all units in  inches</v>
      </c>
      <c r="Q514" s="20" t="str">
        <f t="shared" ref="Q514:AA514" si="86">IF(B140="","",B140)</f>
        <v/>
      </c>
      <c r="R514" s="20" t="str">
        <f t="shared" si="86"/>
        <v/>
      </c>
      <c r="S514" s="20" t="str">
        <f t="shared" si="86"/>
        <v/>
      </c>
      <c r="T514" s="20" t="str">
        <f t="shared" si="86"/>
        <v/>
      </c>
      <c r="U514" s="20" t="str">
        <f t="shared" si="86"/>
        <v/>
      </c>
      <c r="V514" s="20" t="str">
        <f t="shared" si="86"/>
        <v/>
      </c>
      <c r="W514" s="20" t="str">
        <f t="shared" si="86"/>
        <v/>
      </c>
      <c r="X514" s="20" t="str">
        <f t="shared" si="86"/>
        <v/>
      </c>
      <c r="Y514" s="20" t="str">
        <f t="shared" si="86"/>
        <v/>
      </c>
      <c r="Z514" s="20" t="str">
        <f t="shared" si="86"/>
        <v/>
      </c>
      <c r="AA514" s="20" t="str">
        <f t="shared" si="86"/>
        <v/>
      </c>
    </row>
    <row r="515" spans="4:27" x14ac:dyDescent="0.25">
      <c r="D515" s="136"/>
      <c r="E515" s="136"/>
      <c r="O515" s="136"/>
      <c r="P515" s="20" t="str">
        <f t="shared" ref="P515:P526" si="87">IF(A141="","",A141)</f>
        <v>structural member</v>
      </c>
      <c r="Q515" s="20" t="str">
        <f t="shared" ref="Q515:Q526" si="88">IF(B141="","",B141)</f>
        <v>a</v>
      </c>
      <c r="R515" s="20" t="str">
        <f t="shared" ref="R515:R526" si="89">IF(C141="","",C141)</f>
        <v>b</v>
      </c>
      <c r="S515" s="20" t="str">
        <f t="shared" ref="S515:S526" si="90">IF(D141="","",D141)</f>
        <v>c</v>
      </c>
      <c r="T515" s="20" t="str">
        <f t="shared" ref="T515:T526" si="91">IF(E141="","",E141)</f>
        <v>d</v>
      </c>
      <c r="U515" s="20" t="str">
        <f t="shared" ref="U515:U526" si="92">IF(F141="","",F141)</f>
        <v>e</v>
      </c>
      <c r="V515" s="20" t="str">
        <f t="shared" ref="V515:V526" si="93">IF(G141="","",G141)</f>
        <v>f</v>
      </c>
      <c r="W515" s="20" t="str">
        <f t="shared" ref="W515:W526" si="94">IF(H141="","",H141)</f>
        <v>g</v>
      </c>
      <c r="X515" s="20" t="str">
        <f t="shared" ref="X515:X526" si="95">IF(I141="","",I141)</f>
        <v>h</v>
      </c>
      <c r="Y515" s="20" t="str">
        <f t="shared" ref="Y515:Y526" si="96">IF(J141="","",J141)</f>
        <v>J</v>
      </c>
      <c r="Z515" s="20" t="str">
        <f t="shared" ref="Z515:Z526" si="97">IF(K141="","",K141)</f>
        <v/>
      </c>
      <c r="AA515" s="20" t="str">
        <f t="shared" ref="AA515:AA526" si="98">IF(L141="","",L141)</f>
        <v/>
      </c>
    </row>
    <row r="516" spans="4:27" x14ac:dyDescent="0.25">
      <c r="D516" s="136"/>
      <c r="E516" s="136"/>
      <c r="O516" s="136"/>
      <c r="P516" s="20" t="str">
        <f t="shared" si="87"/>
        <v>height ( Y length)</v>
      </c>
      <c r="Q516" s="20">
        <f t="shared" si="88"/>
        <v>6</v>
      </c>
      <c r="R516" s="20">
        <f t="shared" si="89"/>
        <v>0.3</v>
      </c>
      <c r="S516" s="20">
        <f t="shared" si="90"/>
        <v>6</v>
      </c>
      <c r="T516" s="20">
        <f t="shared" si="91"/>
        <v>0.51200000000000001</v>
      </c>
      <c r="U516" s="20">
        <f t="shared" si="92"/>
        <v>0.25</v>
      </c>
      <c r="V516" s="20">
        <f t="shared" si="93"/>
        <v>0.25</v>
      </c>
      <c r="W516" s="20">
        <f t="shared" si="94"/>
        <v>0.51200000000000001</v>
      </c>
      <c r="X516" s="20">
        <f t="shared" si="95"/>
        <v>0.504</v>
      </c>
      <c r="Y516" s="20">
        <f t="shared" si="96"/>
        <v>0.504</v>
      </c>
      <c r="Z516" s="20" t="str">
        <f t="shared" si="97"/>
        <v/>
      </c>
      <c r="AA516" s="20" t="str">
        <f t="shared" si="98"/>
        <v/>
      </c>
    </row>
    <row r="517" spans="4:27" x14ac:dyDescent="0.25">
      <c r="D517" s="136"/>
      <c r="E517" s="136"/>
      <c r="O517" s="136"/>
      <c r="P517" s="20" t="str">
        <f t="shared" si="87"/>
        <v>Width (Z Length)</v>
      </c>
      <c r="Q517" s="20">
        <f t="shared" si="88"/>
        <v>0.25</v>
      </c>
      <c r="R517" s="20">
        <f t="shared" si="89"/>
        <v>4.2244094488188972</v>
      </c>
      <c r="S517" s="20">
        <f t="shared" si="90"/>
        <v>0.25</v>
      </c>
      <c r="T517" s="20">
        <f t="shared" si="91"/>
        <v>0.51200000000000001</v>
      </c>
      <c r="U517" s="20">
        <f t="shared" si="92"/>
        <v>0.25</v>
      </c>
      <c r="V517" s="20">
        <f t="shared" si="93"/>
        <v>0.25</v>
      </c>
      <c r="W517" s="20">
        <f t="shared" si="94"/>
        <v>0.51200000000000001</v>
      </c>
      <c r="X517" s="20">
        <f t="shared" si="95"/>
        <v>0.51200000000000001</v>
      </c>
      <c r="Y517" s="20">
        <f t="shared" si="96"/>
        <v>0.51200000000000001</v>
      </c>
      <c r="Z517" s="20" t="str">
        <f t="shared" si="97"/>
        <v/>
      </c>
      <c r="AA517" s="20" t="str">
        <f t="shared" si="98"/>
        <v/>
      </c>
    </row>
    <row r="518" spans="4:27" x14ac:dyDescent="0.25">
      <c r="D518" s="136"/>
      <c r="E518" s="136"/>
      <c r="O518" s="136"/>
      <c r="P518" s="20" t="str">
        <f t="shared" si="87"/>
        <v xml:space="preserve">degree slope angle </v>
      </c>
      <c r="Q518" s="20" t="str">
        <f t="shared" si="88"/>
        <v>n/a</v>
      </c>
      <c r="R518" s="20" t="str">
        <f t="shared" si="89"/>
        <v>n/a</v>
      </c>
      <c r="S518" s="20" t="str">
        <f t="shared" si="90"/>
        <v>n/a</v>
      </c>
      <c r="T518" s="20">
        <f t="shared" si="91"/>
        <v>45</v>
      </c>
      <c r="U518" s="20">
        <f t="shared" si="92"/>
        <v>45</v>
      </c>
      <c r="V518" s="20">
        <f t="shared" si="93"/>
        <v>45</v>
      </c>
      <c r="W518" s="20">
        <f t="shared" si="94"/>
        <v>45</v>
      </c>
      <c r="X518" s="20" t="str">
        <f t="shared" si="95"/>
        <v>n/a</v>
      </c>
      <c r="Y518" s="20" t="str">
        <f t="shared" si="96"/>
        <v>n/a</v>
      </c>
      <c r="Z518" s="20" t="str">
        <f t="shared" si="97"/>
        <v/>
      </c>
      <c r="AA518" s="20" t="str">
        <f t="shared" si="98"/>
        <v/>
      </c>
    </row>
    <row r="519" spans="4:27" x14ac:dyDescent="0.25">
      <c r="D519" s="136"/>
      <c r="E519" s="136"/>
      <c r="O519" s="136"/>
      <c r="P519" s="20" t="str">
        <f t="shared" si="87"/>
        <v/>
      </c>
      <c r="Q519" s="20" t="str">
        <f t="shared" si="88"/>
        <v/>
      </c>
      <c r="R519" s="20" t="str">
        <f t="shared" si="89"/>
        <v/>
      </c>
      <c r="S519" s="20" t="str">
        <f t="shared" si="90"/>
        <v/>
      </c>
      <c r="T519" s="20" t="str">
        <f t="shared" si="91"/>
        <v/>
      </c>
      <c r="U519" s="20" t="str">
        <f t="shared" si="92"/>
        <v/>
      </c>
      <c r="V519" s="20" t="str">
        <f t="shared" si="93"/>
        <v/>
      </c>
      <c r="W519" s="20" t="str">
        <f t="shared" si="94"/>
        <v/>
      </c>
      <c r="X519" s="20" t="str">
        <f t="shared" si="95"/>
        <v/>
      </c>
      <c r="Y519" s="20" t="str">
        <f t="shared" si="96"/>
        <v/>
      </c>
      <c r="Z519" s="20" t="str">
        <f t="shared" si="97"/>
        <v/>
      </c>
      <c r="AA519" s="20" t="str">
        <f t="shared" si="98"/>
        <v/>
      </c>
    </row>
    <row r="520" spans="4:27" x14ac:dyDescent="0.25">
      <c r="D520" s="136"/>
      <c r="E520" s="136"/>
      <c r="O520" s="136"/>
      <c r="P520" s="20" t="str">
        <f t="shared" si="87"/>
        <v>Structural member</v>
      </c>
      <c r="Q520" s="20" t="str">
        <f t="shared" si="88"/>
        <v>i</v>
      </c>
      <c r="R520" s="20" t="str">
        <f t="shared" si="89"/>
        <v>k</v>
      </c>
      <c r="S520" s="20" t="str">
        <f t="shared" si="90"/>
        <v/>
      </c>
      <c r="T520" s="20" t="str">
        <f t="shared" si="91"/>
        <v/>
      </c>
      <c r="U520" s="20" t="str">
        <f t="shared" si="92"/>
        <v/>
      </c>
      <c r="V520" s="20" t="str">
        <f t="shared" si="93"/>
        <v/>
      </c>
      <c r="W520" s="20" t="str">
        <f t="shared" si="94"/>
        <v/>
      </c>
      <c r="X520" s="20" t="str">
        <f t="shared" si="95"/>
        <v/>
      </c>
      <c r="Y520" s="20" t="str">
        <f t="shared" si="96"/>
        <v/>
      </c>
      <c r="Z520" s="20" t="str">
        <f t="shared" si="97"/>
        <v/>
      </c>
      <c r="AA520" s="20" t="str">
        <f t="shared" si="98"/>
        <v/>
      </c>
    </row>
    <row r="521" spans="4:27" x14ac:dyDescent="0.25">
      <c r="D521" s="136"/>
      <c r="E521" s="136"/>
      <c r="O521" s="136"/>
      <c r="P521" s="20" t="str">
        <f t="shared" si="87"/>
        <v>Diameter outer</v>
      </c>
      <c r="Q521" s="20">
        <f t="shared" si="88"/>
        <v>0.254</v>
      </c>
      <c r="R521" s="20">
        <f t="shared" si="89"/>
        <v>0.254</v>
      </c>
      <c r="S521" s="20" t="str">
        <f t="shared" si="90"/>
        <v/>
      </c>
      <c r="T521" s="20" t="str">
        <f t="shared" si="91"/>
        <v/>
      </c>
      <c r="U521" s="20" t="str">
        <f t="shared" si="92"/>
        <v/>
      </c>
      <c r="V521" s="20" t="str">
        <f t="shared" si="93"/>
        <v/>
      </c>
      <c r="W521" s="20" t="str">
        <f t="shared" si="94"/>
        <v/>
      </c>
      <c r="X521" s="20" t="str">
        <f t="shared" si="95"/>
        <v/>
      </c>
      <c r="Y521" s="20" t="str">
        <f t="shared" si="96"/>
        <v/>
      </c>
      <c r="Z521" s="20" t="str">
        <f t="shared" si="97"/>
        <v/>
      </c>
      <c r="AA521" s="20" t="str">
        <f t="shared" si="98"/>
        <v/>
      </c>
    </row>
    <row r="522" spans="4:27" x14ac:dyDescent="0.25">
      <c r="D522" s="136"/>
      <c r="E522" s="136"/>
      <c r="O522" s="136"/>
      <c r="P522" s="20" t="str">
        <f t="shared" si="87"/>
        <v>Diameter inner</v>
      </c>
      <c r="Q522" s="20">
        <f t="shared" si="88"/>
        <v>0.158</v>
      </c>
      <c r="R522" s="20">
        <f t="shared" si="89"/>
        <v>0.158</v>
      </c>
      <c r="S522" s="20" t="str">
        <f t="shared" si="90"/>
        <v/>
      </c>
      <c r="T522" s="20" t="str">
        <f t="shared" si="91"/>
        <v/>
      </c>
      <c r="U522" s="20" t="str">
        <f t="shared" si="92"/>
        <v/>
      </c>
      <c r="V522" s="20" t="str">
        <f t="shared" si="93"/>
        <v/>
      </c>
      <c r="W522" s="20" t="str">
        <f t="shared" si="94"/>
        <v/>
      </c>
      <c r="X522" s="20" t="str">
        <f t="shared" si="95"/>
        <v/>
      </c>
      <c r="Y522" s="20" t="str">
        <f t="shared" si="96"/>
        <v/>
      </c>
      <c r="Z522" s="20" t="str">
        <f t="shared" si="97"/>
        <v/>
      </c>
      <c r="AA522" s="20" t="str">
        <f t="shared" si="98"/>
        <v/>
      </c>
    </row>
    <row r="523" spans="4:27" x14ac:dyDescent="0.25">
      <c r="D523" s="136"/>
      <c r="E523" s="136"/>
      <c r="O523" s="136"/>
      <c r="P523" s="20" t="str">
        <f t="shared" si="87"/>
        <v/>
      </c>
      <c r="Q523" s="20" t="str">
        <f t="shared" si="88"/>
        <v/>
      </c>
      <c r="R523" s="20" t="str">
        <f t="shared" si="89"/>
        <v/>
      </c>
      <c r="S523" s="20" t="str">
        <f t="shared" si="90"/>
        <v/>
      </c>
      <c r="T523" s="20" t="str">
        <f t="shared" si="91"/>
        <v/>
      </c>
      <c r="U523" s="20" t="str">
        <f t="shared" si="92"/>
        <v/>
      </c>
      <c r="V523" s="20" t="str">
        <f t="shared" si="93"/>
        <v/>
      </c>
      <c r="W523" s="20" t="str">
        <f t="shared" si="94"/>
        <v/>
      </c>
      <c r="X523" s="20" t="str">
        <f t="shared" si="95"/>
        <v/>
      </c>
      <c r="Y523" s="20" t="str">
        <f t="shared" si="96"/>
        <v/>
      </c>
      <c r="Z523" s="20" t="str">
        <f t="shared" si="97"/>
        <v/>
      </c>
      <c r="AA523" s="20" t="str">
        <f t="shared" si="98"/>
        <v/>
      </c>
    </row>
    <row r="524" spans="4:27" x14ac:dyDescent="0.25">
      <c r="D524" s="136"/>
      <c r="E524" s="136"/>
      <c r="O524" s="136"/>
      <c r="P524" s="20" t="str">
        <f t="shared" si="87"/>
        <v/>
      </c>
      <c r="Q524" s="20" t="str">
        <f t="shared" si="88"/>
        <v>Outer Fuselage Height</v>
      </c>
      <c r="R524" s="20" t="str">
        <f t="shared" si="89"/>
        <v xml:space="preserve">Outer Fuselage Width </v>
      </c>
      <c r="S524" s="20" t="str">
        <f t="shared" si="90"/>
        <v/>
      </c>
      <c r="T524" s="20" t="str">
        <f t="shared" si="91"/>
        <v/>
      </c>
      <c r="U524" s="20" t="str">
        <f t="shared" si="92"/>
        <v/>
      </c>
      <c r="V524" s="20" t="str">
        <f t="shared" si="93"/>
        <v/>
      </c>
      <c r="W524" s="20" t="str">
        <f t="shared" si="94"/>
        <v/>
      </c>
      <c r="X524" s="20" t="str">
        <f t="shared" si="95"/>
        <v/>
      </c>
      <c r="Y524" s="20" t="str">
        <f t="shared" si="96"/>
        <v/>
      </c>
      <c r="Z524" s="20" t="str">
        <f t="shared" si="97"/>
        <v/>
      </c>
      <c r="AA524" s="20" t="str">
        <f t="shared" si="98"/>
        <v/>
      </c>
    </row>
    <row r="525" spans="4:27" x14ac:dyDescent="0.25">
      <c r="D525" s="136"/>
      <c r="E525" s="136"/>
      <c r="O525" s="136"/>
      <c r="P525" s="20" t="str">
        <f t="shared" si="87"/>
        <v>Y</v>
      </c>
      <c r="Q525" s="20">
        <f t="shared" si="88"/>
        <v>6</v>
      </c>
      <c r="R525" s="20" t="str">
        <f t="shared" si="89"/>
        <v/>
      </c>
      <c r="S525" s="20" t="str">
        <f t="shared" si="90"/>
        <v/>
      </c>
      <c r="T525" s="20" t="str">
        <f t="shared" si="91"/>
        <v/>
      </c>
      <c r="U525" s="20" t="str">
        <f t="shared" si="92"/>
        <v/>
      </c>
      <c r="V525" s="20" t="str">
        <f t="shared" si="93"/>
        <v/>
      </c>
      <c r="W525" s="20" t="str">
        <f t="shared" si="94"/>
        <v/>
      </c>
      <c r="X525" s="20" t="str">
        <f t="shared" si="95"/>
        <v/>
      </c>
      <c r="Y525" s="20" t="str">
        <f t="shared" si="96"/>
        <v/>
      </c>
      <c r="Z525" s="20" t="str">
        <f t="shared" si="97"/>
        <v/>
      </c>
      <c r="AA525" s="20" t="str">
        <f t="shared" si="98"/>
        <v/>
      </c>
    </row>
    <row r="526" spans="4:27" x14ac:dyDescent="0.25">
      <c r="D526" s="136"/>
      <c r="E526" s="136"/>
      <c r="O526" s="136"/>
      <c r="P526" s="20" t="str">
        <f t="shared" si="87"/>
        <v>Z</v>
      </c>
      <c r="Q526" s="20" t="str">
        <f t="shared" si="88"/>
        <v/>
      </c>
      <c r="R526" s="20">
        <f t="shared" si="89"/>
        <v>4.7244094488188972</v>
      </c>
      <c r="S526" s="20" t="str">
        <f t="shared" si="90"/>
        <v/>
      </c>
      <c r="T526" s="20" t="str">
        <f t="shared" si="91"/>
        <v/>
      </c>
      <c r="U526" s="20" t="str">
        <f t="shared" si="92"/>
        <v/>
      </c>
      <c r="V526" s="20" t="str">
        <f t="shared" si="93"/>
        <v/>
      </c>
      <c r="W526" s="20" t="str">
        <f t="shared" si="94"/>
        <v/>
      </c>
      <c r="X526" s="20" t="str">
        <f t="shared" si="95"/>
        <v/>
      </c>
      <c r="Y526" s="20" t="str">
        <f t="shared" si="96"/>
        <v/>
      </c>
      <c r="Z526" s="20" t="str">
        <f t="shared" si="97"/>
        <v/>
      </c>
      <c r="AA526" s="20" t="str">
        <f t="shared" si="98"/>
        <v/>
      </c>
    </row>
    <row r="527" spans="4:27" x14ac:dyDescent="0.25">
      <c r="D527" s="136"/>
      <c r="E527" s="136"/>
      <c r="O527" s="136"/>
    </row>
    <row r="528" spans="4:27" x14ac:dyDescent="0.25">
      <c r="D528" s="136"/>
      <c r="E528" s="136"/>
      <c r="O528" s="136"/>
    </row>
    <row r="529" spans="1:27" x14ac:dyDescent="0.25">
      <c r="D529" s="136"/>
      <c r="E529" s="136"/>
      <c r="O529" s="136"/>
    </row>
    <row r="530" spans="1:27" x14ac:dyDescent="0.25">
      <c r="D530" s="136"/>
      <c r="E530" s="136"/>
      <c r="O530" s="136"/>
    </row>
    <row r="531" spans="1:27" x14ac:dyDescent="0.25">
      <c r="D531" s="136"/>
      <c r="E531" s="136"/>
      <c r="O531" s="136"/>
    </row>
    <row r="532" spans="1:27" x14ac:dyDescent="0.25">
      <c r="D532" s="136"/>
      <c r="E532" s="136"/>
      <c r="O532" s="136"/>
    </row>
    <row r="533" spans="1:27" x14ac:dyDescent="0.25">
      <c r="D533" s="136"/>
      <c r="E533" s="136"/>
      <c r="O533" s="136"/>
    </row>
    <row r="534" spans="1:27" x14ac:dyDescent="0.25">
      <c r="D534" s="136"/>
      <c r="E534" s="136"/>
      <c r="O534" s="136"/>
      <c r="S534" s="135"/>
      <c r="T534" s="135"/>
      <c r="U534" s="135"/>
    </row>
    <row r="535" spans="1:27" x14ac:dyDescent="0.25">
      <c r="D535" s="136"/>
      <c r="E535" s="136"/>
      <c r="O535" s="136"/>
      <c r="S535" s="135"/>
      <c r="T535" s="135"/>
      <c r="U535" s="135"/>
    </row>
    <row r="536" spans="1:27" ht="15.75" thickBot="1" x14ac:dyDescent="0.3"/>
    <row r="537" spans="1:27" ht="15.75" thickBot="1" x14ac:dyDescent="0.3">
      <c r="A537" t="s">
        <v>2258</v>
      </c>
      <c r="B537" s="345" t="s">
        <v>1899</v>
      </c>
      <c r="C537" s="381" t="s">
        <v>1898</v>
      </c>
      <c r="D537" s="382" t="s">
        <v>1897</v>
      </c>
      <c r="E537" s="383" t="s">
        <v>1896</v>
      </c>
      <c r="F537" s="381" t="s">
        <v>1895</v>
      </c>
      <c r="G537" s="384" t="s">
        <v>1894</v>
      </c>
      <c r="H537" s="382" t="s">
        <v>1893</v>
      </c>
      <c r="I537" s="385" t="s">
        <v>1892</v>
      </c>
      <c r="J537" s="386" t="s">
        <v>1891</v>
      </c>
      <c r="K537" s="387" t="s">
        <v>1890</v>
      </c>
      <c r="L537" s="381" t="s">
        <v>1889</v>
      </c>
      <c r="M537" s="382" t="s">
        <v>1888</v>
      </c>
      <c r="N537" s="385" t="s">
        <v>1887</v>
      </c>
      <c r="O537" s="386" t="s">
        <v>1886</v>
      </c>
      <c r="P537" s="386" t="s">
        <v>1885</v>
      </c>
      <c r="Q537" s="386" t="s">
        <v>1884</v>
      </c>
      <c r="R537" s="386" t="s">
        <v>1883</v>
      </c>
      <c r="S537" s="386" t="s">
        <v>1882</v>
      </c>
      <c r="T537" s="386" t="s">
        <v>1881</v>
      </c>
      <c r="U537" s="386" t="s">
        <v>1880</v>
      </c>
      <c r="V537" s="386" t="s">
        <v>1879</v>
      </c>
      <c r="W537" s="386" t="s">
        <v>1878</v>
      </c>
      <c r="X537" s="386" t="s">
        <v>1877</v>
      </c>
      <c r="Z537" s="134" t="s">
        <v>1876</v>
      </c>
      <c r="AA537" s="134" t="s">
        <v>1875</v>
      </c>
    </row>
    <row r="538" spans="1:27" x14ac:dyDescent="0.25">
      <c r="A538" t="s">
        <v>1899</v>
      </c>
      <c r="B538" s="96">
        <v>1</v>
      </c>
      <c r="C538" s="388">
        <f>(N193)*(10^6)</f>
        <v>19500000</v>
      </c>
      <c r="D538" s="389">
        <f>$C$559</f>
        <v>2760.7739999999999</v>
      </c>
      <c r="E538" s="390">
        <f t="shared" ref="E538:E601" si="99">C538/D538</f>
        <v>7063.236614079965</v>
      </c>
      <c r="F538" s="391">
        <f>AB113*2</f>
        <v>0.50800000000000001</v>
      </c>
      <c r="G538" s="392">
        <f>Q525-AB113*2</f>
        <v>5.492</v>
      </c>
      <c r="H538" s="393">
        <f>PI()*((AB113/2)^2-((AB114/2)^2))</f>
        <v>3.1064068158695876E-2</v>
      </c>
      <c r="I538" s="394">
        <f t="shared" ref="I538:J569" si="100">H538*E538</f>
        <v>219.41286360077632</v>
      </c>
      <c r="J538" s="395">
        <f t="shared" si="100"/>
        <v>111.46173470919437</v>
      </c>
      <c r="K538" s="396">
        <f t="shared" ref="K538:K601" si="101">I538*G538</f>
        <v>1205.0154468954636</v>
      </c>
      <c r="L538" s="397">
        <f>PI()*(AB113^4-AB114^4)/64</f>
        <v>1.737258011775067E-4</v>
      </c>
      <c r="M538" s="398">
        <f>PI()*(AB113^4-AB114^4)/64</f>
        <v>1.737258011775067E-4</v>
      </c>
      <c r="N538" s="399">
        <v>0</v>
      </c>
      <c r="O538" s="395">
        <f t="shared" ref="O538:O601" si="102">$H$638</f>
        <v>2.3463725326735672</v>
      </c>
      <c r="P538" s="395">
        <f t="shared" ref="P538:P546" si="103">H$640</f>
        <v>5.4592113762606598</v>
      </c>
      <c r="Q538" s="400">
        <f t="shared" ref="Q538:R569" si="104">F538-O538</f>
        <v>-1.8383725326735672</v>
      </c>
      <c r="R538" s="400">
        <f t="shared" si="104"/>
        <v>3.2788623739340217E-2</v>
      </c>
      <c r="S538" s="395">
        <f t="shared" ref="S538:S601" si="105">H538*Q538^2</f>
        <v>0.10498454625400969</v>
      </c>
      <c r="T538" s="395">
        <f t="shared" ref="T538:T601" si="106">H538*R538^2</f>
        <v>3.3396788531505387E-5</v>
      </c>
      <c r="U538" s="395">
        <f t="shared" ref="U538:U569" si="107">H538*Q538*R538</f>
        <v>-1.872470744850559E-3</v>
      </c>
      <c r="V538" s="401">
        <f t="shared" ref="V538:V601" si="108">E538*(L538+T538)</f>
        <v>1.4629558592357563</v>
      </c>
      <c r="W538" s="401">
        <f t="shared" ref="W538:W601" si="109">E538*(M538+S538)</f>
        <v>742.75775745358021</v>
      </c>
      <c r="X538" s="402">
        <f t="shared" ref="X538:X601" si="110">E538*(N538+U538)</f>
        <v>-13.225703923822053</v>
      </c>
      <c r="Z538" s="68"/>
      <c r="AA538" s="68"/>
    </row>
    <row r="539" spans="1:27" ht="15.75" thickBot="1" x14ac:dyDescent="0.3">
      <c r="A539" t="s">
        <v>2239</v>
      </c>
      <c r="B539" s="96">
        <v>2</v>
      </c>
      <c r="C539" s="403">
        <f>(N193)*(10^6)</f>
        <v>19500000</v>
      </c>
      <c r="D539" s="404">
        <f t="shared" ref="D539:D602" si="111">$C$559</f>
        <v>2760.7739999999999</v>
      </c>
      <c r="E539" s="405">
        <f t="shared" si="99"/>
        <v>7063.236614079965</v>
      </c>
      <c r="F539" s="406">
        <f>R526-AB113*2</f>
        <v>4.2164094488188972</v>
      </c>
      <c r="G539" s="407">
        <f>Q525-AB113*2</f>
        <v>5.492</v>
      </c>
      <c r="H539" s="408">
        <f>PI()*((AB113/2)^2-((AB114/2)^2))</f>
        <v>3.1064068158695876E-2</v>
      </c>
      <c r="I539" s="409">
        <f t="shared" si="100"/>
        <v>219.41286360077632</v>
      </c>
      <c r="J539" s="410">
        <f t="shared" si="100"/>
        <v>925.13447127872519</v>
      </c>
      <c r="K539" s="411">
        <f t="shared" si="101"/>
        <v>1205.0154468954636</v>
      </c>
      <c r="L539" s="412">
        <f>PI()*(AB113^4-AB114^4)/64</f>
        <v>1.737258011775067E-4</v>
      </c>
      <c r="M539" s="413">
        <f>PI()*(AB113^4-AB114^4)/64</f>
        <v>1.737258011775067E-4</v>
      </c>
      <c r="N539" s="414">
        <v>0</v>
      </c>
      <c r="O539" s="410">
        <f t="shared" si="102"/>
        <v>2.3463725326735672</v>
      </c>
      <c r="P539" s="410">
        <f t="shared" si="103"/>
        <v>5.4592113762606598</v>
      </c>
      <c r="Q539" s="415">
        <f t="shared" si="104"/>
        <v>1.8700369161453301</v>
      </c>
      <c r="R539" s="415">
        <f t="shared" si="104"/>
        <v>3.2788623739340217E-2</v>
      </c>
      <c r="S539" s="410">
        <f t="shared" si="105"/>
        <v>0.10863222889002633</v>
      </c>
      <c r="T539" s="410">
        <f t="shared" si="106"/>
        <v>3.3396788531505387E-5</v>
      </c>
      <c r="U539" s="410">
        <f t="shared" si="107"/>
        <v>1.9047224406580343E-3</v>
      </c>
      <c r="V539" s="416">
        <f t="shared" si="108"/>
        <v>1.4629558592357563</v>
      </c>
      <c r="W539" s="416">
        <f t="shared" si="109"/>
        <v>768.52220300483668</v>
      </c>
      <c r="X539" s="417">
        <f t="shared" si="110"/>
        <v>13.453505282515582</v>
      </c>
      <c r="Z539" s="68"/>
      <c r="AA539" s="68"/>
    </row>
    <row r="540" spans="1:27" x14ac:dyDescent="0.25">
      <c r="B540" s="96">
        <v>3</v>
      </c>
      <c r="C540" s="357">
        <v>0</v>
      </c>
      <c r="D540" s="358">
        <f t="shared" si="111"/>
        <v>2760.7739999999999</v>
      </c>
      <c r="E540" s="132">
        <f t="shared" si="99"/>
        <v>0</v>
      </c>
      <c r="F540" s="357">
        <v>0</v>
      </c>
      <c r="G540" s="367">
        <v>0</v>
      </c>
      <c r="H540" s="358">
        <v>0</v>
      </c>
      <c r="I540" s="130">
        <f t="shared" si="100"/>
        <v>0</v>
      </c>
      <c r="J540" s="129">
        <f t="shared" si="100"/>
        <v>0</v>
      </c>
      <c r="K540" s="129">
        <f t="shared" si="101"/>
        <v>0</v>
      </c>
      <c r="L540" s="346">
        <v>0</v>
      </c>
      <c r="M540" s="347">
        <v>0</v>
      </c>
      <c r="N540" s="129">
        <v>0</v>
      </c>
      <c r="O540" s="129">
        <f t="shared" si="102"/>
        <v>2.3463725326735672</v>
      </c>
      <c r="P540" s="129">
        <f t="shared" si="103"/>
        <v>5.4592113762606598</v>
      </c>
      <c r="Q540" s="93">
        <f t="shared" si="104"/>
        <v>-2.3463725326735672</v>
      </c>
      <c r="R540" s="93">
        <f t="shared" si="104"/>
        <v>-5.4592113762606598</v>
      </c>
      <c r="S540" s="129">
        <f t="shared" si="105"/>
        <v>0</v>
      </c>
      <c r="T540" s="129">
        <f t="shared" si="106"/>
        <v>0</v>
      </c>
      <c r="U540" s="129">
        <f t="shared" si="107"/>
        <v>0</v>
      </c>
      <c r="V540" s="128">
        <f t="shared" si="108"/>
        <v>0</v>
      </c>
      <c r="W540" s="128">
        <f t="shared" si="109"/>
        <v>0</v>
      </c>
      <c r="X540" s="128">
        <f t="shared" si="110"/>
        <v>0</v>
      </c>
      <c r="Z540" s="68"/>
      <c r="AA540" s="68"/>
    </row>
    <row r="541" spans="1:27" x14ac:dyDescent="0.25">
      <c r="B541" s="96">
        <v>4</v>
      </c>
      <c r="C541" s="357">
        <v>0</v>
      </c>
      <c r="D541" s="358">
        <f t="shared" si="111"/>
        <v>2760.7739999999999</v>
      </c>
      <c r="E541" s="132">
        <f t="shared" si="99"/>
        <v>0</v>
      </c>
      <c r="F541" s="357">
        <v>0</v>
      </c>
      <c r="G541" s="367">
        <v>0</v>
      </c>
      <c r="H541" s="358">
        <v>0</v>
      </c>
      <c r="I541" s="130">
        <f t="shared" si="100"/>
        <v>0</v>
      </c>
      <c r="J541" s="129">
        <f t="shared" si="100"/>
        <v>0</v>
      </c>
      <c r="K541" s="129">
        <f t="shared" si="101"/>
        <v>0</v>
      </c>
      <c r="L541" s="346">
        <v>0</v>
      </c>
      <c r="M541" s="347">
        <v>0</v>
      </c>
      <c r="N541" s="129">
        <v>0</v>
      </c>
      <c r="O541" s="129">
        <f t="shared" si="102"/>
        <v>2.3463725326735672</v>
      </c>
      <c r="P541" s="129">
        <f t="shared" si="103"/>
        <v>5.4592113762606598</v>
      </c>
      <c r="Q541" s="93">
        <f t="shared" si="104"/>
        <v>-2.3463725326735672</v>
      </c>
      <c r="R541" s="93">
        <f t="shared" si="104"/>
        <v>-5.4592113762606598</v>
      </c>
      <c r="S541" s="129">
        <f t="shared" si="105"/>
        <v>0</v>
      </c>
      <c r="T541" s="129">
        <f t="shared" si="106"/>
        <v>0</v>
      </c>
      <c r="U541" s="129">
        <f t="shared" si="107"/>
        <v>0</v>
      </c>
      <c r="V541" s="128">
        <f t="shared" si="108"/>
        <v>0</v>
      </c>
      <c r="W541" s="128">
        <f t="shared" si="109"/>
        <v>0</v>
      </c>
      <c r="X541" s="128">
        <f t="shared" si="110"/>
        <v>0</v>
      </c>
      <c r="Z541" s="68"/>
      <c r="AA541" s="68"/>
    </row>
    <row r="542" spans="1:27" x14ac:dyDescent="0.25">
      <c r="B542" s="96">
        <v>5</v>
      </c>
      <c r="C542" s="357">
        <v>0</v>
      </c>
      <c r="D542" s="358">
        <f t="shared" si="111"/>
        <v>2760.7739999999999</v>
      </c>
      <c r="E542" s="132">
        <f t="shared" si="99"/>
        <v>0</v>
      </c>
      <c r="F542" s="357">
        <v>0</v>
      </c>
      <c r="G542" s="367">
        <v>0</v>
      </c>
      <c r="H542" s="358">
        <v>0</v>
      </c>
      <c r="I542" s="130">
        <f t="shared" si="100"/>
        <v>0</v>
      </c>
      <c r="J542" s="129">
        <f t="shared" si="100"/>
        <v>0</v>
      </c>
      <c r="K542" s="129">
        <f t="shared" si="101"/>
        <v>0</v>
      </c>
      <c r="L542" s="346">
        <v>0</v>
      </c>
      <c r="M542" s="347">
        <v>0</v>
      </c>
      <c r="N542" s="129">
        <v>0</v>
      </c>
      <c r="O542" s="129">
        <f t="shared" si="102"/>
        <v>2.3463725326735672</v>
      </c>
      <c r="P542" s="129">
        <f t="shared" si="103"/>
        <v>5.4592113762606598</v>
      </c>
      <c r="Q542" s="93">
        <f t="shared" si="104"/>
        <v>-2.3463725326735672</v>
      </c>
      <c r="R542" s="93">
        <f t="shared" si="104"/>
        <v>-5.4592113762606598</v>
      </c>
      <c r="S542" s="129">
        <f t="shared" si="105"/>
        <v>0</v>
      </c>
      <c r="T542" s="129">
        <f t="shared" si="106"/>
        <v>0</v>
      </c>
      <c r="U542" s="129">
        <f t="shared" si="107"/>
        <v>0</v>
      </c>
      <c r="V542" s="128">
        <f t="shared" si="108"/>
        <v>0</v>
      </c>
      <c r="W542" s="128">
        <f t="shared" si="109"/>
        <v>0</v>
      </c>
      <c r="X542" s="128">
        <f t="shared" si="110"/>
        <v>0</v>
      </c>
      <c r="Z542" s="68"/>
      <c r="AA542" s="68"/>
    </row>
    <row r="543" spans="1:27" x14ac:dyDescent="0.25">
      <c r="B543" s="96">
        <v>6</v>
      </c>
      <c r="C543" s="357">
        <v>0</v>
      </c>
      <c r="D543" s="358">
        <f t="shared" si="111"/>
        <v>2760.7739999999999</v>
      </c>
      <c r="E543" s="132">
        <f t="shared" si="99"/>
        <v>0</v>
      </c>
      <c r="F543" s="357">
        <v>0</v>
      </c>
      <c r="G543" s="367">
        <v>0</v>
      </c>
      <c r="H543" s="358">
        <v>0</v>
      </c>
      <c r="I543" s="130">
        <f t="shared" si="100"/>
        <v>0</v>
      </c>
      <c r="J543" s="129">
        <f t="shared" si="100"/>
        <v>0</v>
      </c>
      <c r="K543" s="129">
        <f t="shared" si="101"/>
        <v>0</v>
      </c>
      <c r="L543" s="346">
        <v>0</v>
      </c>
      <c r="M543" s="347">
        <v>0</v>
      </c>
      <c r="N543" s="129">
        <v>0</v>
      </c>
      <c r="O543" s="129">
        <f t="shared" si="102"/>
        <v>2.3463725326735672</v>
      </c>
      <c r="P543" s="129">
        <f t="shared" si="103"/>
        <v>5.4592113762606598</v>
      </c>
      <c r="Q543" s="93">
        <f t="shared" si="104"/>
        <v>-2.3463725326735672</v>
      </c>
      <c r="R543" s="93">
        <f t="shared" si="104"/>
        <v>-5.4592113762606598</v>
      </c>
      <c r="S543" s="129">
        <f t="shared" si="105"/>
        <v>0</v>
      </c>
      <c r="T543" s="129">
        <f t="shared" si="106"/>
        <v>0</v>
      </c>
      <c r="U543" s="129">
        <f t="shared" si="107"/>
        <v>0</v>
      </c>
      <c r="V543" s="128">
        <f t="shared" si="108"/>
        <v>0</v>
      </c>
      <c r="W543" s="128">
        <f t="shared" si="109"/>
        <v>0</v>
      </c>
      <c r="X543" s="128">
        <f t="shared" si="110"/>
        <v>0</v>
      </c>
      <c r="Z543" s="68"/>
      <c r="AA543" s="68"/>
    </row>
    <row r="544" spans="1:27" x14ac:dyDescent="0.25">
      <c r="B544" s="96">
        <v>7</v>
      </c>
      <c r="C544" s="357">
        <v>0</v>
      </c>
      <c r="D544" s="358">
        <f t="shared" si="111"/>
        <v>2760.7739999999999</v>
      </c>
      <c r="E544" s="132">
        <f t="shared" si="99"/>
        <v>0</v>
      </c>
      <c r="F544" s="357">
        <v>0</v>
      </c>
      <c r="G544" s="367">
        <v>0</v>
      </c>
      <c r="H544" s="358">
        <v>0</v>
      </c>
      <c r="I544" s="130">
        <f t="shared" si="100"/>
        <v>0</v>
      </c>
      <c r="J544" s="129">
        <f t="shared" si="100"/>
        <v>0</v>
      </c>
      <c r="K544" s="129">
        <f t="shared" si="101"/>
        <v>0</v>
      </c>
      <c r="L544" s="346">
        <v>0</v>
      </c>
      <c r="M544" s="347">
        <v>0</v>
      </c>
      <c r="N544" s="129">
        <v>0</v>
      </c>
      <c r="O544" s="129">
        <f t="shared" si="102"/>
        <v>2.3463725326735672</v>
      </c>
      <c r="P544" s="129">
        <f t="shared" si="103"/>
        <v>5.4592113762606598</v>
      </c>
      <c r="Q544" s="93">
        <f t="shared" si="104"/>
        <v>-2.3463725326735672</v>
      </c>
      <c r="R544" s="93">
        <f t="shared" si="104"/>
        <v>-5.4592113762606598</v>
      </c>
      <c r="S544" s="129">
        <f t="shared" si="105"/>
        <v>0</v>
      </c>
      <c r="T544" s="129">
        <f t="shared" si="106"/>
        <v>0</v>
      </c>
      <c r="U544" s="129">
        <f t="shared" si="107"/>
        <v>0</v>
      </c>
      <c r="V544" s="128">
        <f t="shared" si="108"/>
        <v>0</v>
      </c>
      <c r="W544" s="128">
        <f t="shared" si="109"/>
        <v>0</v>
      </c>
      <c r="X544" s="128">
        <f t="shared" si="110"/>
        <v>0</v>
      </c>
      <c r="Z544" s="68"/>
      <c r="AA544" s="68"/>
    </row>
    <row r="545" spans="1:27" x14ac:dyDescent="0.25">
      <c r="B545" s="96">
        <v>8</v>
      </c>
      <c r="C545" s="357">
        <v>0</v>
      </c>
      <c r="D545" s="358">
        <f t="shared" si="111"/>
        <v>2760.7739999999999</v>
      </c>
      <c r="E545" s="132">
        <f t="shared" si="99"/>
        <v>0</v>
      </c>
      <c r="F545" s="357">
        <v>0</v>
      </c>
      <c r="G545" s="367">
        <v>0</v>
      </c>
      <c r="H545" s="358">
        <v>0</v>
      </c>
      <c r="I545" s="130">
        <f t="shared" si="100"/>
        <v>0</v>
      </c>
      <c r="J545" s="129">
        <f t="shared" si="100"/>
        <v>0</v>
      </c>
      <c r="K545" s="129">
        <f t="shared" si="101"/>
        <v>0</v>
      </c>
      <c r="L545" s="346">
        <v>0</v>
      </c>
      <c r="M545" s="347">
        <v>0</v>
      </c>
      <c r="N545" s="129">
        <v>0</v>
      </c>
      <c r="O545" s="129">
        <f t="shared" si="102"/>
        <v>2.3463725326735672</v>
      </c>
      <c r="P545" s="129">
        <f t="shared" si="103"/>
        <v>5.4592113762606598</v>
      </c>
      <c r="Q545" s="93">
        <f t="shared" si="104"/>
        <v>-2.3463725326735672</v>
      </c>
      <c r="R545" s="93">
        <f t="shared" si="104"/>
        <v>-5.4592113762606598</v>
      </c>
      <c r="S545" s="129">
        <f t="shared" si="105"/>
        <v>0</v>
      </c>
      <c r="T545" s="129">
        <f t="shared" si="106"/>
        <v>0</v>
      </c>
      <c r="U545" s="129">
        <f t="shared" si="107"/>
        <v>0</v>
      </c>
      <c r="V545" s="128">
        <f t="shared" si="108"/>
        <v>0</v>
      </c>
      <c r="W545" s="128">
        <f t="shared" si="109"/>
        <v>0</v>
      </c>
      <c r="X545" s="128">
        <f t="shared" si="110"/>
        <v>0</v>
      </c>
      <c r="Z545" s="68"/>
      <c r="AA545" s="68"/>
    </row>
    <row r="546" spans="1:27" x14ac:dyDescent="0.25">
      <c r="B546" s="96">
        <v>9</v>
      </c>
      <c r="C546" s="359">
        <v>0</v>
      </c>
      <c r="D546" s="360">
        <f t="shared" si="111"/>
        <v>2760.7739999999999</v>
      </c>
      <c r="E546" s="126">
        <f t="shared" si="99"/>
        <v>0</v>
      </c>
      <c r="F546" s="368">
        <v>0</v>
      </c>
      <c r="G546" s="369">
        <v>0</v>
      </c>
      <c r="H546" s="370">
        <v>0</v>
      </c>
      <c r="I546" s="124">
        <f t="shared" si="100"/>
        <v>0</v>
      </c>
      <c r="J546" s="122">
        <f t="shared" si="100"/>
        <v>0</v>
      </c>
      <c r="K546" s="122">
        <f t="shared" si="101"/>
        <v>0</v>
      </c>
      <c r="L546" s="348">
        <f>(0*(T130^3))/12</f>
        <v>0</v>
      </c>
      <c r="M546" s="349">
        <f>T130*(0^3)/12</f>
        <v>0</v>
      </c>
      <c r="N546" s="122">
        <v>0</v>
      </c>
      <c r="O546" s="122">
        <f t="shared" si="102"/>
        <v>2.3463725326735672</v>
      </c>
      <c r="P546" s="122">
        <f t="shared" si="103"/>
        <v>5.4592113762606598</v>
      </c>
      <c r="Q546" s="123">
        <f t="shared" si="104"/>
        <v>-2.3463725326735672</v>
      </c>
      <c r="R546" s="123">
        <f t="shared" si="104"/>
        <v>-5.4592113762606598</v>
      </c>
      <c r="S546" s="122">
        <f t="shared" si="105"/>
        <v>0</v>
      </c>
      <c r="T546" s="122">
        <f t="shared" si="106"/>
        <v>0</v>
      </c>
      <c r="U546" s="122">
        <f t="shared" si="107"/>
        <v>0</v>
      </c>
      <c r="V546" s="121">
        <f t="shared" si="108"/>
        <v>0</v>
      </c>
      <c r="W546" s="121">
        <f t="shared" si="109"/>
        <v>0</v>
      </c>
      <c r="X546" s="121">
        <f t="shared" si="110"/>
        <v>0</v>
      </c>
      <c r="Z546" s="120"/>
      <c r="AA546" s="120"/>
    </row>
    <row r="547" spans="1:27" x14ac:dyDescent="0.25">
      <c r="B547" s="96">
        <v>10</v>
      </c>
      <c r="C547" s="359">
        <v>0</v>
      </c>
      <c r="D547" s="360">
        <f t="shared" si="111"/>
        <v>2760.7739999999999</v>
      </c>
      <c r="E547" s="126">
        <f t="shared" si="99"/>
        <v>0</v>
      </c>
      <c r="F547" s="359">
        <v>0</v>
      </c>
      <c r="G547" s="371">
        <v>0</v>
      </c>
      <c r="H547" s="360">
        <v>0</v>
      </c>
      <c r="I547" s="124">
        <f t="shared" si="100"/>
        <v>0</v>
      </c>
      <c r="J547" s="122">
        <f t="shared" si="100"/>
        <v>0</v>
      </c>
      <c r="K547" s="122">
        <f t="shared" si="101"/>
        <v>0</v>
      </c>
      <c r="L547" s="348">
        <v>0</v>
      </c>
      <c r="M547" s="349">
        <v>0</v>
      </c>
      <c r="N547" s="122">
        <v>0</v>
      </c>
      <c r="O547" s="122">
        <f t="shared" si="102"/>
        <v>2.3463725326735672</v>
      </c>
      <c r="P547" s="122">
        <f>H640</f>
        <v>5.4592113762606598</v>
      </c>
      <c r="Q547" s="123">
        <f t="shared" si="104"/>
        <v>-2.3463725326735672</v>
      </c>
      <c r="R547" s="123">
        <f t="shared" si="104"/>
        <v>-5.4592113762606598</v>
      </c>
      <c r="S547" s="122">
        <f t="shared" si="105"/>
        <v>0</v>
      </c>
      <c r="T547" s="122">
        <f t="shared" si="106"/>
        <v>0</v>
      </c>
      <c r="U547" s="122">
        <f t="shared" si="107"/>
        <v>0</v>
      </c>
      <c r="V547" s="121">
        <f t="shared" si="108"/>
        <v>0</v>
      </c>
      <c r="W547" s="121">
        <f t="shared" si="109"/>
        <v>0</v>
      </c>
      <c r="X547" s="121">
        <f t="shared" si="110"/>
        <v>0</v>
      </c>
      <c r="Z547" s="120"/>
      <c r="AA547" s="120"/>
    </row>
    <row r="548" spans="1:27" x14ac:dyDescent="0.25">
      <c r="B548" s="96">
        <v>11</v>
      </c>
      <c r="C548" s="359">
        <v>0</v>
      </c>
      <c r="D548" s="360">
        <f t="shared" si="111"/>
        <v>2760.7739999999999</v>
      </c>
      <c r="E548" s="126">
        <f t="shared" si="99"/>
        <v>0</v>
      </c>
      <c r="F548" s="359">
        <v>0</v>
      </c>
      <c r="G548" s="371">
        <v>0</v>
      </c>
      <c r="H548" s="360">
        <v>0</v>
      </c>
      <c r="I548" s="124">
        <f t="shared" si="100"/>
        <v>0</v>
      </c>
      <c r="J548" s="122">
        <f t="shared" si="100"/>
        <v>0</v>
      </c>
      <c r="K548" s="122">
        <f t="shared" si="101"/>
        <v>0</v>
      </c>
      <c r="L548" s="348">
        <v>0</v>
      </c>
      <c r="M548" s="349">
        <v>0</v>
      </c>
      <c r="N548" s="122">
        <v>0</v>
      </c>
      <c r="O548" s="122">
        <f t="shared" si="102"/>
        <v>2.3463725326735672</v>
      </c>
      <c r="P548" s="122">
        <f>H640</f>
        <v>5.4592113762606598</v>
      </c>
      <c r="Q548" s="123">
        <f t="shared" si="104"/>
        <v>-2.3463725326735672</v>
      </c>
      <c r="R548" s="123">
        <f t="shared" si="104"/>
        <v>-5.4592113762606598</v>
      </c>
      <c r="S548" s="122">
        <f t="shared" si="105"/>
        <v>0</v>
      </c>
      <c r="T548" s="122">
        <f t="shared" si="106"/>
        <v>0</v>
      </c>
      <c r="U548" s="122">
        <f t="shared" si="107"/>
        <v>0</v>
      </c>
      <c r="V548" s="121">
        <f t="shared" si="108"/>
        <v>0</v>
      </c>
      <c r="W548" s="121">
        <f t="shared" si="109"/>
        <v>0</v>
      </c>
      <c r="X548" s="121">
        <f t="shared" si="110"/>
        <v>0</v>
      </c>
      <c r="Z548" s="120"/>
      <c r="AA548" s="120"/>
    </row>
    <row r="549" spans="1:27" x14ac:dyDescent="0.25">
      <c r="B549" s="96">
        <v>12</v>
      </c>
      <c r="C549" s="359">
        <v>0</v>
      </c>
      <c r="D549" s="360">
        <f t="shared" si="111"/>
        <v>2760.7739999999999</v>
      </c>
      <c r="E549" s="126">
        <f t="shared" si="99"/>
        <v>0</v>
      </c>
      <c r="F549" s="359">
        <v>0</v>
      </c>
      <c r="G549" s="371">
        <v>0</v>
      </c>
      <c r="H549" s="360">
        <v>0</v>
      </c>
      <c r="I549" s="124">
        <f t="shared" si="100"/>
        <v>0</v>
      </c>
      <c r="J549" s="122">
        <f t="shared" si="100"/>
        <v>0</v>
      </c>
      <c r="K549" s="122">
        <f t="shared" si="101"/>
        <v>0</v>
      </c>
      <c r="L549" s="348">
        <v>0</v>
      </c>
      <c r="M549" s="349">
        <v>0</v>
      </c>
      <c r="N549" s="122">
        <v>0</v>
      </c>
      <c r="O549" s="122">
        <f t="shared" si="102"/>
        <v>2.3463725326735672</v>
      </c>
      <c r="P549" s="122">
        <f>H640</f>
        <v>5.4592113762606598</v>
      </c>
      <c r="Q549" s="123">
        <f t="shared" si="104"/>
        <v>-2.3463725326735672</v>
      </c>
      <c r="R549" s="123">
        <f t="shared" si="104"/>
        <v>-5.4592113762606598</v>
      </c>
      <c r="S549" s="122">
        <f t="shared" si="105"/>
        <v>0</v>
      </c>
      <c r="T549" s="122">
        <f t="shared" si="106"/>
        <v>0</v>
      </c>
      <c r="U549" s="122">
        <f t="shared" si="107"/>
        <v>0</v>
      </c>
      <c r="V549" s="121">
        <f t="shared" si="108"/>
        <v>0</v>
      </c>
      <c r="W549" s="121">
        <f t="shared" si="109"/>
        <v>0</v>
      </c>
      <c r="X549" s="121">
        <f t="shared" si="110"/>
        <v>0</v>
      </c>
      <c r="Z549" s="120"/>
      <c r="AA549" s="120"/>
    </row>
    <row r="550" spans="1:27" x14ac:dyDescent="0.25">
      <c r="B550" s="96">
        <v>13</v>
      </c>
      <c r="C550" s="359">
        <v>0</v>
      </c>
      <c r="D550" s="360">
        <f t="shared" si="111"/>
        <v>2760.7739999999999</v>
      </c>
      <c r="E550" s="126">
        <f t="shared" si="99"/>
        <v>0</v>
      </c>
      <c r="F550" s="359">
        <v>0</v>
      </c>
      <c r="G550" s="371">
        <v>0</v>
      </c>
      <c r="H550" s="360">
        <v>0</v>
      </c>
      <c r="I550" s="124">
        <f t="shared" si="100"/>
        <v>0</v>
      </c>
      <c r="J550" s="122">
        <f t="shared" si="100"/>
        <v>0</v>
      </c>
      <c r="K550" s="122">
        <f t="shared" si="101"/>
        <v>0</v>
      </c>
      <c r="L550" s="348">
        <v>0</v>
      </c>
      <c r="M550" s="349">
        <v>0</v>
      </c>
      <c r="N550" s="122">
        <v>0</v>
      </c>
      <c r="O550" s="122">
        <f t="shared" si="102"/>
        <v>2.3463725326735672</v>
      </c>
      <c r="P550" s="122">
        <f>H640</f>
        <v>5.4592113762606598</v>
      </c>
      <c r="Q550" s="123">
        <f t="shared" si="104"/>
        <v>-2.3463725326735672</v>
      </c>
      <c r="R550" s="123">
        <f t="shared" si="104"/>
        <v>-5.4592113762606598</v>
      </c>
      <c r="S550" s="122">
        <f t="shared" si="105"/>
        <v>0</v>
      </c>
      <c r="T550" s="122">
        <f t="shared" si="106"/>
        <v>0</v>
      </c>
      <c r="U550" s="122">
        <f t="shared" si="107"/>
        <v>0</v>
      </c>
      <c r="V550" s="121">
        <f t="shared" si="108"/>
        <v>0</v>
      </c>
      <c r="W550" s="121">
        <f t="shared" si="109"/>
        <v>0</v>
      </c>
      <c r="X550" s="121">
        <f t="shared" si="110"/>
        <v>0</v>
      </c>
      <c r="Z550" s="120"/>
      <c r="AA550" s="120"/>
    </row>
    <row r="551" spans="1:27" x14ac:dyDescent="0.25">
      <c r="B551" s="96">
        <v>14</v>
      </c>
      <c r="C551" s="359">
        <v>0</v>
      </c>
      <c r="D551" s="360">
        <f t="shared" si="111"/>
        <v>2760.7739999999999</v>
      </c>
      <c r="E551" s="126">
        <f t="shared" si="99"/>
        <v>0</v>
      </c>
      <c r="F551" s="359">
        <v>0</v>
      </c>
      <c r="G551" s="371">
        <v>0</v>
      </c>
      <c r="H551" s="360">
        <v>0</v>
      </c>
      <c r="I551" s="124">
        <f t="shared" si="100"/>
        <v>0</v>
      </c>
      <c r="J551" s="122">
        <f t="shared" si="100"/>
        <v>0</v>
      </c>
      <c r="K551" s="122">
        <f t="shared" si="101"/>
        <v>0</v>
      </c>
      <c r="L551" s="348">
        <v>0</v>
      </c>
      <c r="M551" s="349">
        <v>0</v>
      </c>
      <c r="N551" s="122">
        <v>0</v>
      </c>
      <c r="O551" s="122">
        <f t="shared" si="102"/>
        <v>2.3463725326735672</v>
      </c>
      <c r="P551" s="122">
        <f>H640</f>
        <v>5.4592113762606598</v>
      </c>
      <c r="Q551" s="123">
        <f t="shared" si="104"/>
        <v>-2.3463725326735672</v>
      </c>
      <c r="R551" s="123">
        <f t="shared" si="104"/>
        <v>-5.4592113762606598</v>
      </c>
      <c r="S551" s="122">
        <f t="shared" si="105"/>
        <v>0</v>
      </c>
      <c r="T551" s="122">
        <f t="shared" si="106"/>
        <v>0</v>
      </c>
      <c r="U551" s="122">
        <f t="shared" si="107"/>
        <v>0</v>
      </c>
      <c r="V551" s="121">
        <f t="shared" si="108"/>
        <v>0</v>
      </c>
      <c r="W551" s="121">
        <f t="shared" si="109"/>
        <v>0</v>
      </c>
      <c r="X551" s="121">
        <f t="shared" si="110"/>
        <v>0</v>
      </c>
      <c r="Z551" s="120"/>
      <c r="AA551" s="120"/>
    </row>
    <row r="552" spans="1:27" x14ac:dyDescent="0.25">
      <c r="B552" s="96">
        <v>15</v>
      </c>
      <c r="C552" s="359">
        <v>0</v>
      </c>
      <c r="D552" s="360">
        <f t="shared" si="111"/>
        <v>2760.7739999999999</v>
      </c>
      <c r="E552" s="126">
        <f t="shared" si="99"/>
        <v>0</v>
      </c>
      <c r="F552" s="359">
        <v>0</v>
      </c>
      <c r="G552" s="371">
        <v>0</v>
      </c>
      <c r="H552" s="360">
        <v>0</v>
      </c>
      <c r="I552" s="124">
        <f t="shared" si="100"/>
        <v>0</v>
      </c>
      <c r="J552" s="122">
        <f t="shared" si="100"/>
        <v>0</v>
      </c>
      <c r="K552" s="122">
        <f t="shared" si="101"/>
        <v>0</v>
      </c>
      <c r="L552" s="348">
        <v>0</v>
      </c>
      <c r="M552" s="349">
        <v>0</v>
      </c>
      <c r="N552" s="122">
        <v>0</v>
      </c>
      <c r="O552" s="122">
        <f t="shared" si="102"/>
        <v>2.3463725326735672</v>
      </c>
      <c r="P552" s="122">
        <f>H640</f>
        <v>5.4592113762606598</v>
      </c>
      <c r="Q552" s="123">
        <f t="shared" si="104"/>
        <v>-2.3463725326735672</v>
      </c>
      <c r="R552" s="123">
        <f t="shared" si="104"/>
        <v>-5.4592113762606598</v>
      </c>
      <c r="S552" s="122">
        <f t="shared" si="105"/>
        <v>0</v>
      </c>
      <c r="T552" s="122">
        <f t="shared" si="106"/>
        <v>0</v>
      </c>
      <c r="U552" s="122">
        <f t="shared" si="107"/>
        <v>0</v>
      </c>
      <c r="V552" s="121">
        <f t="shared" si="108"/>
        <v>0</v>
      </c>
      <c r="W552" s="121">
        <f t="shared" si="109"/>
        <v>0</v>
      </c>
      <c r="X552" s="121">
        <f t="shared" si="110"/>
        <v>0</v>
      </c>
      <c r="Z552" s="120"/>
      <c r="AA552" s="120"/>
    </row>
    <row r="553" spans="1:27" x14ac:dyDescent="0.25">
      <c r="B553" s="96">
        <v>16</v>
      </c>
      <c r="C553" s="359">
        <v>0</v>
      </c>
      <c r="D553" s="360">
        <f t="shared" si="111"/>
        <v>2760.7739999999999</v>
      </c>
      <c r="E553" s="126">
        <f t="shared" si="99"/>
        <v>0</v>
      </c>
      <c r="F553" s="359">
        <v>0</v>
      </c>
      <c r="G553" s="371">
        <v>0</v>
      </c>
      <c r="H553" s="360">
        <v>0</v>
      </c>
      <c r="I553" s="124">
        <f t="shared" si="100"/>
        <v>0</v>
      </c>
      <c r="J553" s="122">
        <f t="shared" si="100"/>
        <v>0</v>
      </c>
      <c r="K553" s="122">
        <f t="shared" si="101"/>
        <v>0</v>
      </c>
      <c r="L553" s="348">
        <v>0</v>
      </c>
      <c r="M553" s="349">
        <v>0</v>
      </c>
      <c r="N553" s="122">
        <v>0</v>
      </c>
      <c r="O553" s="122">
        <f t="shared" si="102"/>
        <v>2.3463725326735672</v>
      </c>
      <c r="P553" s="122">
        <f>H640</f>
        <v>5.4592113762606598</v>
      </c>
      <c r="Q553" s="123">
        <f t="shared" si="104"/>
        <v>-2.3463725326735672</v>
      </c>
      <c r="R553" s="123">
        <f t="shared" si="104"/>
        <v>-5.4592113762606598</v>
      </c>
      <c r="S553" s="122">
        <f t="shared" si="105"/>
        <v>0</v>
      </c>
      <c r="T553" s="122">
        <f t="shared" si="106"/>
        <v>0</v>
      </c>
      <c r="U553" s="122">
        <f t="shared" si="107"/>
        <v>0</v>
      </c>
      <c r="V553" s="121">
        <f t="shared" si="108"/>
        <v>0</v>
      </c>
      <c r="W553" s="121">
        <f t="shared" si="109"/>
        <v>0</v>
      </c>
      <c r="X553" s="121">
        <f t="shared" si="110"/>
        <v>0</v>
      </c>
      <c r="Z553" s="120"/>
      <c r="AA553" s="120"/>
    </row>
    <row r="554" spans="1:27" x14ac:dyDescent="0.25">
      <c r="B554" s="96">
        <v>17</v>
      </c>
      <c r="C554" s="359">
        <v>0</v>
      </c>
      <c r="D554" s="360">
        <f t="shared" si="111"/>
        <v>2760.7739999999999</v>
      </c>
      <c r="E554" s="126">
        <f t="shared" si="99"/>
        <v>0</v>
      </c>
      <c r="F554" s="359">
        <v>0</v>
      </c>
      <c r="G554" s="371">
        <v>0</v>
      </c>
      <c r="H554" s="360">
        <v>0</v>
      </c>
      <c r="I554" s="124">
        <f t="shared" si="100"/>
        <v>0</v>
      </c>
      <c r="J554" s="122">
        <f t="shared" si="100"/>
        <v>0</v>
      </c>
      <c r="K554" s="122">
        <f t="shared" si="101"/>
        <v>0</v>
      </c>
      <c r="L554" s="348">
        <v>0</v>
      </c>
      <c r="M554" s="349">
        <v>0</v>
      </c>
      <c r="N554" s="122">
        <v>0</v>
      </c>
      <c r="O554" s="122">
        <f t="shared" si="102"/>
        <v>2.3463725326735672</v>
      </c>
      <c r="P554" s="122">
        <f>H640</f>
        <v>5.4592113762606598</v>
      </c>
      <c r="Q554" s="123">
        <f t="shared" si="104"/>
        <v>-2.3463725326735672</v>
      </c>
      <c r="R554" s="123">
        <f t="shared" si="104"/>
        <v>-5.4592113762606598</v>
      </c>
      <c r="S554" s="122">
        <f t="shared" si="105"/>
        <v>0</v>
      </c>
      <c r="T554" s="122">
        <f t="shared" si="106"/>
        <v>0</v>
      </c>
      <c r="U554" s="122">
        <f t="shared" si="107"/>
        <v>0</v>
      </c>
      <c r="V554" s="121">
        <f t="shared" si="108"/>
        <v>0</v>
      </c>
      <c r="W554" s="121">
        <f t="shared" si="109"/>
        <v>0</v>
      </c>
      <c r="X554" s="121">
        <f t="shared" si="110"/>
        <v>0</v>
      </c>
      <c r="Z554" s="120"/>
      <c r="AA554" s="120"/>
    </row>
    <row r="555" spans="1:27" x14ac:dyDescent="0.25">
      <c r="B555" s="96">
        <v>18</v>
      </c>
      <c r="C555" s="359">
        <v>0</v>
      </c>
      <c r="D555" s="360">
        <f t="shared" si="111"/>
        <v>2760.7739999999999</v>
      </c>
      <c r="E555" s="126">
        <f t="shared" si="99"/>
        <v>0</v>
      </c>
      <c r="F555" s="359">
        <v>0</v>
      </c>
      <c r="G555" s="371">
        <v>0</v>
      </c>
      <c r="H555" s="360">
        <v>0</v>
      </c>
      <c r="I555" s="124">
        <f t="shared" si="100"/>
        <v>0</v>
      </c>
      <c r="J555" s="122">
        <f t="shared" si="100"/>
        <v>0</v>
      </c>
      <c r="K555" s="122">
        <f t="shared" si="101"/>
        <v>0</v>
      </c>
      <c r="L555" s="348">
        <v>0</v>
      </c>
      <c r="M555" s="349">
        <v>0</v>
      </c>
      <c r="N555" s="122">
        <v>0</v>
      </c>
      <c r="O555" s="122">
        <f t="shared" si="102"/>
        <v>2.3463725326735672</v>
      </c>
      <c r="P555" s="122">
        <f>H640</f>
        <v>5.4592113762606598</v>
      </c>
      <c r="Q555" s="123">
        <f t="shared" si="104"/>
        <v>-2.3463725326735672</v>
      </c>
      <c r="R555" s="123">
        <f t="shared" si="104"/>
        <v>-5.4592113762606598</v>
      </c>
      <c r="S555" s="122">
        <f t="shared" si="105"/>
        <v>0</v>
      </c>
      <c r="T555" s="122">
        <f t="shared" si="106"/>
        <v>0</v>
      </c>
      <c r="U555" s="122">
        <f t="shared" si="107"/>
        <v>0</v>
      </c>
      <c r="V555" s="121">
        <f t="shared" si="108"/>
        <v>0</v>
      </c>
      <c r="W555" s="121">
        <f t="shared" si="109"/>
        <v>0</v>
      </c>
      <c r="X555" s="121">
        <f t="shared" si="110"/>
        <v>0</v>
      </c>
      <c r="Z555" s="120"/>
      <c r="AA555" s="120"/>
    </row>
    <row r="556" spans="1:27" x14ac:dyDescent="0.25">
      <c r="B556" s="96">
        <v>19</v>
      </c>
      <c r="C556" s="359">
        <v>0</v>
      </c>
      <c r="D556" s="360">
        <f t="shared" si="111"/>
        <v>2760.7739999999999</v>
      </c>
      <c r="E556" s="126">
        <f t="shared" si="99"/>
        <v>0</v>
      </c>
      <c r="F556" s="359">
        <v>0</v>
      </c>
      <c r="G556" s="371">
        <v>0</v>
      </c>
      <c r="H556" s="360">
        <v>0</v>
      </c>
      <c r="I556" s="124">
        <f t="shared" si="100"/>
        <v>0</v>
      </c>
      <c r="J556" s="122">
        <f t="shared" si="100"/>
        <v>0</v>
      </c>
      <c r="K556" s="122">
        <f t="shared" si="101"/>
        <v>0</v>
      </c>
      <c r="L556" s="348">
        <v>0</v>
      </c>
      <c r="M556" s="349">
        <v>0</v>
      </c>
      <c r="N556" s="122">
        <v>0</v>
      </c>
      <c r="O556" s="122">
        <f t="shared" si="102"/>
        <v>2.3463725326735672</v>
      </c>
      <c r="P556" s="122">
        <f>H640</f>
        <v>5.4592113762606598</v>
      </c>
      <c r="Q556" s="123">
        <f t="shared" si="104"/>
        <v>-2.3463725326735672</v>
      </c>
      <c r="R556" s="123">
        <f t="shared" si="104"/>
        <v>-5.4592113762606598</v>
      </c>
      <c r="S556" s="122">
        <f t="shared" si="105"/>
        <v>0</v>
      </c>
      <c r="T556" s="122">
        <f t="shared" si="106"/>
        <v>0</v>
      </c>
      <c r="U556" s="122">
        <f t="shared" si="107"/>
        <v>0</v>
      </c>
      <c r="V556" s="121">
        <f t="shared" si="108"/>
        <v>0</v>
      </c>
      <c r="W556" s="121">
        <f t="shared" si="109"/>
        <v>0</v>
      </c>
      <c r="X556" s="121">
        <f t="shared" si="110"/>
        <v>0</v>
      </c>
      <c r="Z556" s="120"/>
      <c r="AA556" s="120"/>
    </row>
    <row r="557" spans="1:27" x14ac:dyDescent="0.25">
      <c r="B557" s="96">
        <v>20</v>
      </c>
      <c r="C557" s="359">
        <v>0</v>
      </c>
      <c r="D557" s="360">
        <f t="shared" si="111"/>
        <v>2760.7739999999999</v>
      </c>
      <c r="E557" s="126">
        <f t="shared" si="99"/>
        <v>0</v>
      </c>
      <c r="F557" s="359">
        <v>0</v>
      </c>
      <c r="G557" s="371">
        <v>0</v>
      </c>
      <c r="H557" s="360">
        <v>0</v>
      </c>
      <c r="I557" s="124">
        <f t="shared" si="100"/>
        <v>0</v>
      </c>
      <c r="J557" s="122">
        <f t="shared" si="100"/>
        <v>0</v>
      </c>
      <c r="K557" s="122">
        <f t="shared" si="101"/>
        <v>0</v>
      </c>
      <c r="L557" s="348">
        <v>0</v>
      </c>
      <c r="M557" s="349">
        <v>0</v>
      </c>
      <c r="N557" s="122">
        <v>0</v>
      </c>
      <c r="O557" s="122">
        <f t="shared" si="102"/>
        <v>2.3463725326735672</v>
      </c>
      <c r="P557" s="122">
        <f>H640</f>
        <v>5.4592113762606598</v>
      </c>
      <c r="Q557" s="123">
        <f t="shared" si="104"/>
        <v>-2.3463725326735672</v>
      </c>
      <c r="R557" s="123">
        <f t="shared" si="104"/>
        <v>-5.4592113762606598</v>
      </c>
      <c r="S557" s="122">
        <f t="shared" si="105"/>
        <v>0</v>
      </c>
      <c r="T557" s="122">
        <f t="shared" si="106"/>
        <v>0</v>
      </c>
      <c r="U557" s="122">
        <f t="shared" si="107"/>
        <v>0</v>
      </c>
      <c r="V557" s="121">
        <f t="shared" si="108"/>
        <v>0</v>
      </c>
      <c r="W557" s="121">
        <f t="shared" si="109"/>
        <v>0</v>
      </c>
      <c r="X557" s="121">
        <f t="shared" si="110"/>
        <v>0</v>
      </c>
      <c r="Z557" s="120"/>
      <c r="AA557" s="120"/>
    </row>
    <row r="558" spans="1:27" ht="15.75" thickBot="1" x14ac:dyDescent="0.3">
      <c r="B558" s="96">
        <v>21</v>
      </c>
      <c r="C558" s="359">
        <v>0</v>
      </c>
      <c r="D558" s="360">
        <f t="shared" si="111"/>
        <v>2760.7739999999999</v>
      </c>
      <c r="E558" s="126">
        <f t="shared" si="99"/>
        <v>0</v>
      </c>
      <c r="F558" s="359">
        <v>0</v>
      </c>
      <c r="G558" s="371">
        <v>0</v>
      </c>
      <c r="H558" s="360">
        <v>0</v>
      </c>
      <c r="I558" s="124">
        <f t="shared" si="100"/>
        <v>0</v>
      </c>
      <c r="J558" s="122">
        <f t="shared" si="100"/>
        <v>0</v>
      </c>
      <c r="K558" s="122">
        <f t="shared" si="101"/>
        <v>0</v>
      </c>
      <c r="L558" s="348">
        <v>0</v>
      </c>
      <c r="M558" s="349">
        <v>0</v>
      </c>
      <c r="N558" s="122">
        <v>0</v>
      </c>
      <c r="O558" s="122">
        <f t="shared" si="102"/>
        <v>2.3463725326735672</v>
      </c>
      <c r="P558" s="122">
        <f>H640</f>
        <v>5.4592113762606598</v>
      </c>
      <c r="Q558" s="123">
        <f t="shared" si="104"/>
        <v>-2.3463725326735672</v>
      </c>
      <c r="R558" s="123">
        <f t="shared" si="104"/>
        <v>-5.4592113762606598</v>
      </c>
      <c r="S558" s="122">
        <f t="shared" si="105"/>
        <v>0</v>
      </c>
      <c r="T558" s="122">
        <f t="shared" si="106"/>
        <v>0</v>
      </c>
      <c r="U558" s="122">
        <f t="shared" si="107"/>
        <v>0</v>
      </c>
      <c r="V558" s="121">
        <f t="shared" si="108"/>
        <v>0</v>
      </c>
      <c r="W558" s="121">
        <f t="shared" si="109"/>
        <v>0</v>
      </c>
      <c r="X558" s="121">
        <f t="shared" si="110"/>
        <v>0</v>
      </c>
      <c r="Z558" s="120"/>
      <c r="AA558" s="120"/>
    </row>
    <row r="559" spans="1:27" x14ac:dyDescent="0.25">
      <c r="A559" s="342" t="s">
        <v>2249</v>
      </c>
      <c r="B559" s="96">
        <v>22</v>
      </c>
      <c r="C559" s="446">
        <v>2760.7739999999999</v>
      </c>
      <c r="D559" s="447">
        <f t="shared" si="111"/>
        <v>2760.7739999999999</v>
      </c>
      <c r="E559" s="448">
        <f t="shared" si="99"/>
        <v>1</v>
      </c>
      <c r="F559" s="449">
        <f>Q517/2</f>
        <v>0.125</v>
      </c>
      <c r="G559" s="450">
        <f>Q516/2</f>
        <v>3</v>
      </c>
      <c r="H559" s="451">
        <f>Q517*Q516</f>
        <v>1.5</v>
      </c>
      <c r="I559" s="452">
        <f t="shared" si="100"/>
        <v>1.5</v>
      </c>
      <c r="J559" s="453">
        <f t="shared" si="100"/>
        <v>0.1875</v>
      </c>
      <c r="K559" s="454">
        <f t="shared" si="101"/>
        <v>4.5</v>
      </c>
      <c r="L559" s="455">
        <f>(Q517*Q516^3)/12</f>
        <v>4.5</v>
      </c>
      <c r="M559" s="456">
        <f>(Q517^3*Q516)/12</f>
        <v>7.8125E-3</v>
      </c>
      <c r="N559" s="457">
        <v>0</v>
      </c>
      <c r="O559" s="453">
        <f t="shared" si="102"/>
        <v>2.3463725326735672</v>
      </c>
      <c r="P559" s="453">
        <f>H640</f>
        <v>5.4592113762606598</v>
      </c>
      <c r="Q559" s="458">
        <f t="shared" si="104"/>
        <v>-2.2213725326735672</v>
      </c>
      <c r="R559" s="458">
        <f t="shared" si="104"/>
        <v>-2.4592113762606598</v>
      </c>
      <c r="S559" s="453">
        <f t="shared" si="105"/>
        <v>7.4017438933748672</v>
      </c>
      <c r="T559" s="453">
        <f t="shared" si="106"/>
        <v>9.0715808896947721</v>
      </c>
      <c r="U559" s="453">
        <f t="shared" si="107"/>
        <v>8.1942369048956856</v>
      </c>
      <c r="V559" s="459">
        <f t="shared" si="108"/>
        <v>13.571580889694772</v>
      </c>
      <c r="W559" s="459">
        <f t="shared" si="109"/>
        <v>7.4095563933748672</v>
      </c>
      <c r="X559" s="460">
        <f t="shared" si="110"/>
        <v>8.1942369048956856</v>
      </c>
      <c r="Z559" s="89"/>
      <c r="AA559" s="89"/>
    </row>
    <row r="560" spans="1:27" x14ac:dyDescent="0.25">
      <c r="A560" s="342" t="s">
        <v>2250</v>
      </c>
      <c r="B560" s="96">
        <v>23</v>
      </c>
      <c r="C560" s="418">
        <v>2760.7739999999999</v>
      </c>
      <c r="D560" s="419">
        <f t="shared" si="111"/>
        <v>2760.7739999999999</v>
      </c>
      <c r="E560" s="420">
        <f t="shared" si="99"/>
        <v>1</v>
      </c>
      <c r="F560" s="421">
        <f>R517/2</f>
        <v>2.1122047244094486</v>
      </c>
      <c r="G560" s="461">
        <f>R516/2</f>
        <v>0.15</v>
      </c>
      <c r="H560" s="423">
        <f>R517*R516</f>
        <v>1.2673228346456691</v>
      </c>
      <c r="I560" s="424">
        <f t="shared" si="100"/>
        <v>1.2673228346456691</v>
      </c>
      <c r="J560" s="425">
        <f t="shared" si="100"/>
        <v>2.6768452786905566</v>
      </c>
      <c r="K560" s="426">
        <f t="shared" si="101"/>
        <v>0.19009842519685036</v>
      </c>
      <c r="L560" s="50">
        <f>(R517*R516^3)/12</f>
        <v>9.5049212598425185E-3</v>
      </c>
      <c r="M560" s="427">
        <f>(R517^3*R516)/12</f>
        <v>1.8846817480544404</v>
      </c>
      <c r="N560" s="428">
        <v>0</v>
      </c>
      <c r="O560" s="425">
        <f t="shared" si="102"/>
        <v>2.3463725326735672</v>
      </c>
      <c r="P560" s="425">
        <f>H640</f>
        <v>5.4592113762606598</v>
      </c>
      <c r="Q560" s="429">
        <f t="shared" si="104"/>
        <v>-0.23416780826411854</v>
      </c>
      <c r="R560" s="429">
        <f t="shared" si="104"/>
        <v>-5.3092113762606594</v>
      </c>
      <c r="S560" s="425">
        <f t="shared" si="105"/>
        <v>6.9493093091820599E-2</v>
      </c>
      <c r="T560" s="425">
        <f t="shared" si="106"/>
        <v>35.722948104066305</v>
      </c>
      <c r="U560" s="425">
        <f t="shared" si="107"/>
        <v>1.5755945411526899</v>
      </c>
      <c r="V560" s="430">
        <f t="shared" si="108"/>
        <v>35.732453025326144</v>
      </c>
      <c r="W560" s="430">
        <f t="shared" si="109"/>
        <v>1.9541748411462609</v>
      </c>
      <c r="X560" s="431">
        <f t="shared" si="110"/>
        <v>1.5755945411526899</v>
      </c>
      <c r="Z560" s="89"/>
      <c r="AA560" s="89"/>
    </row>
    <row r="561" spans="1:30" x14ac:dyDescent="0.25">
      <c r="A561" s="342" t="s">
        <v>2251</v>
      </c>
      <c r="B561" s="96">
        <v>24</v>
      </c>
      <c r="C561" s="418">
        <v>2760.7739999999999</v>
      </c>
      <c r="D561" s="419">
        <f t="shared" si="111"/>
        <v>2760.7739999999999</v>
      </c>
      <c r="E561" s="420">
        <f t="shared" si="99"/>
        <v>1</v>
      </c>
      <c r="F561" s="421">
        <f>S517/2</f>
        <v>0.125</v>
      </c>
      <c r="G561" s="422">
        <f>S516/2</f>
        <v>3</v>
      </c>
      <c r="H561" s="423">
        <f>S517*S516</f>
        <v>1.5</v>
      </c>
      <c r="I561" s="424">
        <f t="shared" si="100"/>
        <v>1.5</v>
      </c>
      <c r="J561" s="425">
        <f t="shared" si="100"/>
        <v>0.1875</v>
      </c>
      <c r="K561" s="426">
        <f t="shared" si="101"/>
        <v>4.5</v>
      </c>
      <c r="L561" s="50">
        <f>(S517*S516^3)/12</f>
        <v>4.5</v>
      </c>
      <c r="M561" s="427">
        <f>(S517*S516^3)/12</f>
        <v>4.5</v>
      </c>
      <c r="N561" s="428">
        <v>0</v>
      </c>
      <c r="O561" s="425">
        <f t="shared" si="102"/>
        <v>2.3463725326735672</v>
      </c>
      <c r="P561" s="425">
        <f>H640</f>
        <v>5.4592113762606598</v>
      </c>
      <c r="Q561" s="429">
        <f t="shared" si="104"/>
        <v>-2.2213725326735672</v>
      </c>
      <c r="R561" s="429">
        <f t="shared" si="104"/>
        <v>-2.4592113762606598</v>
      </c>
      <c r="S561" s="425">
        <f t="shared" si="105"/>
        <v>7.4017438933748672</v>
      </c>
      <c r="T561" s="425">
        <f t="shared" si="106"/>
        <v>9.0715808896947721</v>
      </c>
      <c r="U561" s="425">
        <f t="shared" si="107"/>
        <v>8.1942369048956856</v>
      </c>
      <c r="V561" s="430">
        <f t="shared" si="108"/>
        <v>13.571580889694772</v>
      </c>
      <c r="W561" s="430">
        <f t="shared" si="109"/>
        <v>11.901743893374867</v>
      </c>
      <c r="X561" s="431">
        <f t="shared" si="110"/>
        <v>8.1942369048956856</v>
      </c>
      <c r="Z561" s="89"/>
      <c r="AA561" s="89"/>
    </row>
    <row r="562" spans="1:30" x14ac:dyDescent="0.25">
      <c r="A562" s="342" t="s">
        <v>2252</v>
      </c>
      <c r="B562" s="96">
        <v>25</v>
      </c>
      <c r="C562" s="418">
        <v>2760.7739999999999</v>
      </c>
      <c r="D562" s="419">
        <f t="shared" si="111"/>
        <v>2760.7739999999999</v>
      </c>
      <c r="E562" s="420">
        <f t="shared" si="99"/>
        <v>1</v>
      </c>
      <c r="F562" s="421">
        <f>Q517+(T516/3)</f>
        <v>0.42066666666666663</v>
      </c>
      <c r="G562" s="422">
        <f>Q525-0.754-T516/3</f>
        <v>5.0753333333333339</v>
      </c>
      <c r="H562" s="423">
        <f>0.5*T516*T517</f>
        <v>0.13107199999999999</v>
      </c>
      <c r="I562" s="424">
        <f t="shared" si="100"/>
        <v>0.13107199999999999</v>
      </c>
      <c r="J562" s="425">
        <f t="shared" si="100"/>
        <v>5.5137621333333324E-2</v>
      </c>
      <c r="K562" s="426">
        <f t="shared" si="101"/>
        <v>0.66523409066666672</v>
      </c>
      <c r="L562" s="50">
        <f>(T517*T516^3)/36</f>
        <v>1.9088743537777782E-3</v>
      </c>
      <c r="M562" s="427">
        <f>(T517^3*T516)/36</f>
        <v>1.9088743537777782E-3</v>
      </c>
      <c r="N562" s="428">
        <f>-(T517^2*T516^2)/72</f>
        <v>-9.5443717688888888E-4</v>
      </c>
      <c r="O562" s="425">
        <f t="shared" si="102"/>
        <v>2.3463725326735672</v>
      </c>
      <c r="P562" s="425">
        <f>H640</f>
        <v>5.4592113762606598</v>
      </c>
      <c r="Q562" s="429">
        <f t="shared" si="104"/>
        <v>-1.9257058660069006</v>
      </c>
      <c r="R562" s="429">
        <f t="shared" si="104"/>
        <v>-0.38387804292732586</v>
      </c>
      <c r="S562" s="425">
        <f t="shared" si="105"/>
        <v>0.48605994449284456</v>
      </c>
      <c r="T562" s="425">
        <f t="shared" si="106"/>
        <v>1.9315078180597117E-2</v>
      </c>
      <c r="U562" s="425">
        <f t="shared" si="107"/>
        <v>9.6893167087963375E-2</v>
      </c>
      <c r="V562" s="430">
        <f t="shared" si="108"/>
        <v>2.1223952534374896E-2</v>
      </c>
      <c r="W562" s="430">
        <f t="shared" si="109"/>
        <v>0.48796881884662235</v>
      </c>
      <c r="X562" s="431">
        <f t="shared" si="110"/>
        <v>9.593872991107448E-2</v>
      </c>
      <c r="Z562" s="89"/>
      <c r="AA562" s="89"/>
    </row>
    <row r="563" spans="1:30" s="89" customFormat="1" x14ac:dyDescent="0.25">
      <c r="A563" s="342" t="s">
        <v>2253</v>
      </c>
      <c r="B563" s="96">
        <v>26</v>
      </c>
      <c r="C563" s="418">
        <v>2760.7739999999999</v>
      </c>
      <c r="D563" s="419">
        <f t="shared" si="111"/>
        <v>2760.7739999999999</v>
      </c>
      <c r="E563" s="420">
        <f t="shared" si="99"/>
        <v>1</v>
      </c>
      <c r="F563" s="421">
        <f>Q517+(U516/3)</f>
        <v>0.33333333333333331</v>
      </c>
      <c r="G563" s="422">
        <f>Q517-U516/3</f>
        <v>0.16666666666666669</v>
      </c>
      <c r="H563" s="423">
        <f>0.5*U516*U517</f>
        <v>3.125E-2</v>
      </c>
      <c r="I563" s="424">
        <f t="shared" si="100"/>
        <v>3.125E-2</v>
      </c>
      <c r="J563" s="425">
        <f t="shared" si="100"/>
        <v>1.0416666666666666E-2</v>
      </c>
      <c r="K563" s="426">
        <f t="shared" si="101"/>
        <v>5.2083333333333339E-3</v>
      </c>
      <c r="L563" s="50">
        <f>(U517*U516^3)/36</f>
        <v>1.0850694444444444E-4</v>
      </c>
      <c r="M563" s="427">
        <f>(U517^3*U516)/36</f>
        <v>1.0850694444444444E-4</v>
      </c>
      <c r="N563" s="428">
        <f>-(U517^2*U516^2)/72</f>
        <v>-5.4253472222222219E-5</v>
      </c>
      <c r="O563" s="425">
        <f t="shared" si="102"/>
        <v>2.3463725326735672</v>
      </c>
      <c r="P563" s="425">
        <f>H640</f>
        <v>5.4592113762606598</v>
      </c>
      <c r="Q563" s="429">
        <f t="shared" si="104"/>
        <v>-2.0130391993402337</v>
      </c>
      <c r="R563" s="429">
        <f t="shared" si="104"/>
        <v>-5.2925447095939928</v>
      </c>
      <c r="S563" s="425">
        <f t="shared" si="105"/>
        <v>0.12663521306501152</v>
      </c>
      <c r="T563" s="425">
        <f t="shared" si="106"/>
        <v>0.87534467197035504</v>
      </c>
      <c r="U563" s="425">
        <f t="shared" si="107"/>
        <v>0.33294062389604628</v>
      </c>
      <c r="V563" s="430">
        <f t="shared" si="108"/>
        <v>0.87545317891479946</v>
      </c>
      <c r="W563" s="430">
        <f t="shared" si="109"/>
        <v>0.12674372000945597</v>
      </c>
      <c r="X563" s="431">
        <f t="shared" si="110"/>
        <v>0.33288637042382407</v>
      </c>
    </row>
    <row r="564" spans="1:30" s="89" customFormat="1" x14ac:dyDescent="0.25">
      <c r="A564" s="342" t="s">
        <v>2255</v>
      </c>
      <c r="B564" s="96">
        <v>27</v>
      </c>
      <c r="C564" s="418">
        <v>2760.7739999999999</v>
      </c>
      <c r="D564" s="419">
        <f t="shared" si="111"/>
        <v>2760.7739999999999</v>
      </c>
      <c r="E564" s="420">
        <f t="shared" si="99"/>
        <v>1</v>
      </c>
      <c r="F564" s="421">
        <f>R526-S517-(V516/3)</f>
        <v>4.3910761154855642</v>
      </c>
      <c r="G564" s="422">
        <f>Q517-V516/3</f>
        <v>0.16666666666666669</v>
      </c>
      <c r="H564" s="423">
        <f>0.5*V516*V517</f>
        <v>3.125E-2</v>
      </c>
      <c r="I564" s="424">
        <f t="shared" si="100"/>
        <v>3.125E-2</v>
      </c>
      <c r="J564" s="425">
        <f t="shared" si="100"/>
        <v>0.13722112860892388</v>
      </c>
      <c r="K564" s="426">
        <f t="shared" si="101"/>
        <v>5.2083333333333339E-3</v>
      </c>
      <c r="L564" s="50">
        <f>(V517*V516^3)/36</f>
        <v>1.0850694444444444E-4</v>
      </c>
      <c r="M564" s="427">
        <f>(V517^3*V516)/36</f>
        <v>1.0850694444444444E-4</v>
      </c>
      <c r="N564" s="428">
        <f>-(V517^2*V516^2)/72</f>
        <v>-5.4253472222222219E-5</v>
      </c>
      <c r="O564" s="425">
        <f t="shared" si="102"/>
        <v>2.3463725326735672</v>
      </c>
      <c r="P564" s="425">
        <f>H640</f>
        <v>5.4592113762606598</v>
      </c>
      <c r="Q564" s="429">
        <f t="shared" si="104"/>
        <v>2.044703582811997</v>
      </c>
      <c r="R564" s="429">
        <f t="shared" si="104"/>
        <v>-5.2925447095939928</v>
      </c>
      <c r="S564" s="425">
        <f t="shared" si="105"/>
        <v>0.1306503981738818</v>
      </c>
      <c r="T564" s="425">
        <f t="shared" si="106"/>
        <v>0.87534467197035504</v>
      </c>
      <c r="U564" s="425">
        <f t="shared" si="107"/>
        <v>-0.33817766030935992</v>
      </c>
      <c r="V564" s="430">
        <f t="shared" si="108"/>
        <v>0.87545317891479946</v>
      </c>
      <c r="W564" s="430">
        <f t="shared" si="109"/>
        <v>0.13075890511832625</v>
      </c>
      <c r="X564" s="431">
        <f t="shared" si="110"/>
        <v>-0.33823191378158213</v>
      </c>
    </row>
    <row r="565" spans="1:30" x14ac:dyDescent="0.25">
      <c r="A565" s="342" t="s">
        <v>2254</v>
      </c>
      <c r="B565" s="96">
        <v>28</v>
      </c>
      <c r="C565" s="418">
        <v>2760.7739999999999</v>
      </c>
      <c r="D565" s="419">
        <f t="shared" si="111"/>
        <v>2760.7739999999999</v>
      </c>
      <c r="E565" s="420">
        <f t="shared" si="99"/>
        <v>1</v>
      </c>
      <c r="F565" s="421">
        <f>R526-S517-(W516/3)</f>
        <v>4.3037427821522307</v>
      </c>
      <c r="G565" s="422">
        <f>Q525-0.754-W516/3</f>
        <v>5.0753333333333339</v>
      </c>
      <c r="H565" s="423">
        <f>0.5*W516*W517</f>
        <v>0.13107199999999999</v>
      </c>
      <c r="I565" s="424">
        <f t="shared" si="100"/>
        <v>0.13107199999999999</v>
      </c>
      <c r="J565" s="425">
        <f t="shared" si="100"/>
        <v>0.5641001739422572</v>
      </c>
      <c r="K565" s="426">
        <f t="shared" si="101"/>
        <v>0.66523409066666672</v>
      </c>
      <c r="L565" s="50">
        <f>(W517*W516^3)/36</f>
        <v>1.9088743537777782E-3</v>
      </c>
      <c r="M565" s="427">
        <f>(W517^3*W516)/36</f>
        <v>1.9088743537777782E-3</v>
      </c>
      <c r="N565" s="428">
        <f>-(W517^2*W516^2)/72</f>
        <v>-9.5443717688888888E-4</v>
      </c>
      <c r="O565" s="425">
        <f t="shared" si="102"/>
        <v>2.3463725326735672</v>
      </c>
      <c r="P565" s="425">
        <f>H640</f>
        <v>5.4592113762606598</v>
      </c>
      <c r="Q565" s="429">
        <f t="shared" si="104"/>
        <v>1.9573702494786636</v>
      </c>
      <c r="R565" s="429">
        <f t="shared" si="104"/>
        <v>-0.38387804292732586</v>
      </c>
      <c r="S565" s="425">
        <f t="shared" si="105"/>
        <v>0.50217592993142091</v>
      </c>
      <c r="T565" s="425">
        <f t="shared" si="106"/>
        <v>1.9315078180597117E-2</v>
      </c>
      <c r="U565" s="425">
        <f t="shared" si="107"/>
        <v>-9.8486381530846448E-2</v>
      </c>
      <c r="V565" s="430">
        <f t="shared" si="108"/>
        <v>2.1223952534374896E-2</v>
      </c>
      <c r="W565" s="430">
        <f t="shared" si="109"/>
        <v>0.50408480428519864</v>
      </c>
      <c r="X565" s="431">
        <f t="shared" si="110"/>
        <v>-9.9440818707735343E-2</v>
      </c>
      <c r="Z565" s="89"/>
      <c r="AA565" s="89"/>
    </row>
    <row r="566" spans="1:30" s="89" customFormat="1" x14ac:dyDescent="0.25">
      <c r="A566" s="342" t="s">
        <v>2256</v>
      </c>
      <c r="B566" s="96">
        <v>29</v>
      </c>
      <c r="C566" s="418">
        <v>2760.7739999999999</v>
      </c>
      <c r="D566" s="419">
        <f t="shared" si="111"/>
        <v>2760.7739999999999</v>
      </c>
      <c r="E566" s="420">
        <f t="shared" si="99"/>
        <v>1</v>
      </c>
      <c r="F566" s="421">
        <f>Q517+X517/2</f>
        <v>0.50600000000000001</v>
      </c>
      <c r="G566" s="422">
        <f>Q525-X516/2</f>
        <v>5.7480000000000002</v>
      </c>
      <c r="H566" s="423">
        <f>X516*X517</f>
        <v>0.258048</v>
      </c>
      <c r="I566" s="424">
        <f t="shared" si="100"/>
        <v>0.258048</v>
      </c>
      <c r="J566" s="425">
        <f t="shared" si="100"/>
        <v>0.13057228800000001</v>
      </c>
      <c r="K566" s="426">
        <f t="shared" si="101"/>
        <v>1.4832599040000001</v>
      </c>
      <c r="L566" s="50">
        <f>(X517*X516^3)/12</f>
        <v>5.4623600640000018E-3</v>
      </c>
      <c r="M566" s="427">
        <f>(X517^3*X516)/12</f>
        <v>5.6371445760000005E-3</v>
      </c>
      <c r="N566" s="428">
        <v>0</v>
      </c>
      <c r="O566" s="425">
        <f t="shared" si="102"/>
        <v>2.3463725326735672</v>
      </c>
      <c r="P566" s="425">
        <f>H640</f>
        <v>5.4592113762606598</v>
      </c>
      <c r="Q566" s="429">
        <f t="shared" si="104"/>
        <v>-1.8403725326735672</v>
      </c>
      <c r="R566" s="429">
        <f t="shared" si="104"/>
        <v>0.28878862373934044</v>
      </c>
      <c r="S566" s="425">
        <f t="shared" si="105"/>
        <v>0.87400110783781748</v>
      </c>
      <c r="T566" s="425">
        <f t="shared" si="106"/>
        <v>2.1520911399647343E-2</v>
      </c>
      <c r="U566" s="425">
        <f t="shared" si="107"/>
        <v>-0.137147002901891</v>
      </c>
      <c r="V566" s="430">
        <f t="shared" si="108"/>
        <v>2.6983271463647346E-2</v>
      </c>
      <c r="W566" s="430">
        <f t="shared" si="109"/>
        <v>0.87963825241381743</v>
      </c>
      <c r="X566" s="431">
        <f t="shared" si="110"/>
        <v>-0.137147002901891</v>
      </c>
      <c r="AC566" s="157"/>
      <c r="AD566" s="157"/>
    </row>
    <row r="567" spans="1:30" s="89" customFormat="1" ht="15.75" thickBot="1" x14ac:dyDescent="0.3">
      <c r="A567" s="342" t="s">
        <v>2257</v>
      </c>
      <c r="B567" s="96">
        <v>30</v>
      </c>
      <c r="C567" s="432">
        <v>2760.7739999999999</v>
      </c>
      <c r="D567" s="433">
        <f t="shared" si="111"/>
        <v>2760.7739999999999</v>
      </c>
      <c r="E567" s="434">
        <f t="shared" si="99"/>
        <v>1</v>
      </c>
      <c r="F567" s="435">
        <f>R526-S517-Y517/2</f>
        <v>4.218409448818897</v>
      </c>
      <c r="G567" s="436">
        <f>Q525-Y516/2</f>
        <v>5.7480000000000002</v>
      </c>
      <c r="H567" s="437">
        <f>Y516*Y517</f>
        <v>0.258048</v>
      </c>
      <c r="I567" s="438">
        <f t="shared" si="100"/>
        <v>0.258048</v>
      </c>
      <c r="J567" s="439">
        <f t="shared" si="100"/>
        <v>1.0885521214488187</v>
      </c>
      <c r="K567" s="440">
        <f t="shared" si="101"/>
        <v>1.4832599040000001</v>
      </c>
      <c r="L567" s="51">
        <f>(Y517*Y516^3)/12</f>
        <v>5.4623600640000018E-3</v>
      </c>
      <c r="M567" s="441">
        <f>(Y517^3*Y516)/12</f>
        <v>5.6371445760000005E-3</v>
      </c>
      <c r="N567" s="442">
        <v>0</v>
      </c>
      <c r="O567" s="439">
        <f t="shared" si="102"/>
        <v>2.3463725326735672</v>
      </c>
      <c r="P567" s="439">
        <f>H640</f>
        <v>5.4592113762606598</v>
      </c>
      <c r="Q567" s="443">
        <f t="shared" si="104"/>
        <v>1.8720369161453299</v>
      </c>
      <c r="R567" s="443">
        <f t="shared" si="104"/>
        <v>0.28878862373934044</v>
      </c>
      <c r="S567" s="439">
        <f t="shared" si="105"/>
        <v>0.90433494864235631</v>
      </c>
      <c r="T567" s="439">
        <f t="shared" si="106"/>
        <v>2.1520911399647343E-2</v>
      </c>
      <c r="U567" s="439">
        <f t="shared" si="107"/>
        <v>0.13950667476983594</v>
      </c>
      <c r="V567" s="444">
        <f t="shared" si="108"/>
        <v>2.6983271463647346E-2</v>
      </c>
      <c r="W567" s="444">
        <f t="shared" si="109"/>
        <v>0.90997209321835626</v>
      </c>
      <c r="X567" s="445">
        <f t="shared" si="110"/>
        <v>0.13950667476983594</v>
      </c>
    </row>
    <row r="568" spans="1:30" x14ac:dyDescent="0.25">
      <c r="B568" s="96">
        <v>31</v>
      </c>
      <c r="C568" s="361">
        <v>0</v>
      </c>
      <c r="D568" s="362">
        <f t="shared" si="111"/>
        <v>2760.7739999999999</v>
      </c>
      <c r="E568" s="118">
        <f t="shared" si="99"/>
        <v>0</v>
      </c>
      <c r="F568" s="372">
        <f t="shared" ref="F568:F590" si="112">(D116+D115)/2</f>
        <v>1.7243913476596668</v>
      </c>
      <c r="G568" s="373">
        <f t="shared" ref="G568:G590" si="113">(E116+N116)/2</f>
        <v>0.34822301309158354</v>
      </c>
      <c r="H568" s="374">
        <f t="shared" ref="H568:H590" si="114">ABS(D116-D115)*ABS(E116-N116)</f>
        <v>0.5203453336539533</v>
      </c>
      <c r="I568" s="115">
        <f t="shared" si="100"/>
        <v>0</v>
      </c>
      <c r="J568" s="113">
        <f t="shared" si="100"/>
        <v>0</v>
      </c>
      <c r="K568" s="113">
        <f t="shared" si="101"/>
        <v>0</v>
      </c>
      <c r="L568" s="350">
        <f t="shared" ref="L568:L590" si="115">(ABS(D116-D115)*ABS(E116-N116)^3)/12</f>
        <v>8.9215910978105453E-2</v>
      </c>
      <c r="M568" s="351">
        <f t="shared" ref="M568:M590" si="116">((ABS(D116-D115)^3)*ABS(E116-N116))/12</f>
        <v>5.7063952634258492E-3</v>
      </c>
      <c r="N568" s="113">
        <v>0</v>
      </c>
      <c r="O568" s="113">
        <f t="shared" si="102"/>
        <v>2.3463725326735672</v>
      </c>
      <c r="P568" s="113">
        <f>H640</f>
        <v>5.4592113762606598</v>
      </c>
      <c r="Q568" s="114">
        <f t="shared" si="104"/>
        <v>-0.62198118501390032</v>
      </c>
      <c r="R568" s="114">
        <f t="shared" si="104"/>
        <v>-5.110988363169076</v>
      </c>
      <c r="S568" s="113">
        <f t="shared" si="105"/>
        <v>0.20130110512854688</v>
      </c>
      <c r="T568" s="113">
        <f t="shared" si="106"/>
        <v>13.592565940676547</v>
      </c>
      <c r="U568" s="113">
        <f t="shared" si="107"/>
        <v>1.654145865814389</v>
      </c>
      <c r="V568" s="112">
        <f t="shared" si="108"/>
        <v>0</v>
      </c>
      <c r="W568" s="112">
        <f t="shared" si="109"/>
        <v>0</v>
      </c>
      <c r="X568" s="112">
        <f t="shared" si="110"/>
        <v>0</v>
      </c>
      <c r="Z568" s="111"/>
      <c r="AA568" s="111"/>
    </row>
    <row r="569" spans="1:30" x14ac:dyDescent="0.25">
      <c r="B569" s="96">
        <v>32</v>
      </c>
      <c r="C569" s="361">
        <v>0</v>
      </c>
      <c r="D569" s="362">
        <f t="shared" si="111"/>
        <v>2760.7739999999999</v>
      </c>
      <c r="E569" s="118">
        <f t="shared" si="99"/>
        <v>0</v>
      </c>
      <c r="F569" s="372">
        <f t="shared" si="112"/>
        <v>2.103354371609798</v>
      </c>
      <c r="G569" s="373">
        <f t="shared" si="113"/>
        <v>0.37394641557510405</v>
      </c>
      <c r="H569" s="374">
        <f t="shared" si="114"/>
        <v>0.58560570087641894</v>
      </c>
      <c r="I569" s="115">
        <f t="shared" si="100"/>
        <v>0</v>
      </c>
      <c r="J569" s="113">
        <f t="shared" si="100"/>
        <v>0</v>
      </c>
      <c r="K569" s="113">
        <f t="shared" si="101"/>
        <v>0</v>
      </c>
      <c r="L569" s="350">
        <f t="shared" si="115"/>
        <v>0.10717339876724759</v>
      </c>
      <c r="M569" s="351">
        <f t="shared" si="116"/>
        <v>7.620293311310946E-3</v>
      </c>
      <c r="N569" s="113">
        <v>0</v>
      </c>
      <c r="O569" s="113">
        <f t="shared" si="102"/>
        <v>2.3463725326735672</v>
      </c>
      <c r="P569" s="113">
        <f>H640</f>
        <v>5.4592113762606598</v>
      </c>
      <c r="Q569" s="114">
        <f t="shared" si="104"/>
        <v>-0.24301816106376917</v>
      </c>
      <c r="R569" s="114">
        <f t="shared" si="104"/>
        <v>-5.0852649606855556</v>
      </c>
      <c r="S569" s="113">
        <f t="shared" si="105"/>
        <v>3.4584599942322533E-2</v>
      </c>
      <c r="T569" s="113">
        <f t="shared" si="106"/>
        <v>15.14371641245887</v>
      </c>
      <c r="U569" s="113">
        <f t="shared" si="107"/>
        <v>0.72369839972524042</v>
      </c>
      <c r="V569" s="112">
        <f t="shared" si="108"/>
        <v>0</v>
      </c>
      <c r="W569" s="112">
        <f t="shared" si="109"/>
        <v>0</v>
      </c>
      <c r="X569" s="112">
        <f t="shared" si="110"/>
        <v>0</v>
      </c>
      <c r="Z569" s="111"/>
      <c r="AA569" s="111"/>
    </row>
    <row r="570" spans="1:30" x14ac:dyDescent="0.25">
      <c r="B570" s="96">
        <v>33</v>
      </c>
      <c r="C570" s="361">
        <v>0</v>
      </c>
      <c r="D570" s="362">
        <f t="shared" si="111"/>
        <v>2760.7739999999999</v>
      </c>
      <c r="E570" s="118">
        <f t="shared" si="99"/>
        <v>0</v>
      </c>
      <c r="F570" s="372">
        <f t="shared" si="112"/>
        <v>2.5134298909667532</v>
      </c>
      <c r="G570" s="373">
        <f t="shared" si="113"/>
        <v>0.39815244721614995</v>
      </c>
      <c r="H570" s="374">
        <f t="shared" si="114"/>
        <v>0.63595431488554344</v>
      </c>
      <c r="I570" s="115">
        <f t="shared" ref="I570:J601" si="117">H570*E570</f>
        <v>0</v>
      </c>
      <c r="J570" s="113">
        <f t="shared" si="117"/>
        <v>0</v>
      </c>
      <c r="K570" s="113">
        <f t="shared" si="101"/>
        <v>0</v>
      </c>
      <c r="L570" s="350">
        <f t="shared" si="115"/>
        <v>0.11866934079394781</v>
      </c>
      <c r="M570" s="351">
        <f t="shared" si="116"/>
        <v>9.5719991478966145E-3</v>
      </c>
      <c r="N570" s="113">
        <v>0</v>
      </c>
      <c r="O570" s="113">
        <f t="shared" si="102"/>
        <v>2.3463725326735672</v>
      </c>
      <c r="P570" s="113">
        <f t="shared" ref="P570:P632" si="118">H$640</f>
        <v>5.4592113762606598</v>
      </c>
      <c r="Q570" s="114">
        <f t="shared" ref="Q570:R601" si="119">F570-O570</f>
        <v>0.16705735829318602</v>
      </c>
      <c r="R570" s="114">
        <f t="shared" si="119"/>
        <v>-5.0610589290445098</v>
      </c>
      <c r="S570" s="113">
        <f t="shared" si="105"/>
        <v>1.7748315382967356E-2</v>
      </c>
      <c r="T570" s="113">
        <f t="shared" si="106"/>
        <v>16.28953572632815</v>
      </c>
      <c r="U570" s="113">
        <f>H570*Q570*R570</f>
        <v>-0.53769119158954637</v>
      </c>
      <c r="V570" s="112">
        <f t="shared" si="108"/>
        <v>0</v>
      </c>
      <c r="W570" s="112">
        <f t="shared" si="109"/>
        <v>0</v>
      </c>
      <c r="X570" s="112">
        <f t="shared" si="110"/>
        <v>0</v>
      </c>
      <c r="Z570" s="111"/>
      <c r="AA570" s="111"/>
    </row>
    <row r="571" spans="1:30" x14ac:dyDescent="0.25">
      <c r="B571" s="96">
        <v>34</v>
      </c>
      <c r="C571" s="361">
        <v>0</v>
      </c>
      <c r="D571" s="362">
        <f t="shared" si="111"/>
        <v>2760.7739999999999</v>
      </c>
      <c r="E571" s="118">
        <f t="shared" si="99"/>
        <v>0</v>
      </c>
      <c r="F571" s="372">
        <f t="shared" si="112"/>
        <v>2.95173117935258</v>
      </c>
      <c r="G571" s="373">
        <f t="shared" si="113"/>
        <v>0.41236349230603719</v>
      </c>
      <c r="H571" s="374">
        <f t="shared" si="114"/>
        <v>0.67493024025992276</v>
      </c>
      <c r="I571" s="115">
        <f t="shared" si="117"/>
        <v>0</v>
      </c>
      <c r="J571" s="113">
        <f t="shared" si="117"/>
        <v>0</v>
      </c>
      <c r="K571" s="113">
        <f t="shared" si="101"/>
        <v>0</v>
      </c>
      <c r="L571" s="350">
        <f t="shared" si="115"/>
        <v>0.1256214735234136</v>
      </c>
      <c r="M571" s="351">
        <f t="shared" si="116"/>
        <v>1.1471208490434022E-2</v>
      </c>
      <c r="N571" s="113">
        <v>0</v>
      </c>
      <c r="O571" s="113">
        <f t="shared" si="102"/>
        <v>2.3463725326735672</v>
      </c>
      <c r="P571" s="113">
        <f t="shared" si="118"/>
        <v>5.4592113762606598</v>
      </c>
      <c r="Q571" s="114">
        <f t="shared" si="119"/>
        <v>0.60535864667901285</v>
      </c>
      <c r="R571" s="114">
        <f t="shared" si="119"/>
        <v>-5.0468478839546229</v>
      </c>
      <c r="S571" s="113">
        <f t="shared" si="105"/>
        <v>0.24733432240766126</v>
      </c>
      <c r="T571" s="113">
        <f t="shared" si="106"/>
        <v>17.190927827982247</v>
      </c>
      <c r="U571" s="113">
        <f t="shared" ref="U571:U632" si="120">H571*Q571*R571</f>
        <v>-2.0620151517127598</v>
      </c>
      <c r="V571" s="112">
        <f t="shared" si="108"/>
        <v>0</v>
      </c>
      <c r="W571" s="112">
        <f t="shared" si="109"/>
        <v>0</v>
      </c>
      <c r="X571" s="112">
        <f t="shared" si="110"/>
        <v>0</v>
      </c>
      <c r="Z571" s="111"/>
      <c r="AA571" s="111"/>
    </row>
    <row r="572" spans="1:30" x14ac:dyDescent="0.25">
      <c r="B572" s="96">
        <v>35</v>
      </c>
      <c r="C572" s="361">
        <v>0</v>
      </c>
      <c r="D572" s="362">
        <f t="shared" si="111"/>
        <v>2760.7739999999999</v>
      </c>
      <c r="E572" s="118">
        <f t="shared" si="99"/>
        <v>0</v>
      </c>
      <c r="F572" s="372">
        <f t="shared" si="112"/>
        <v>3.414836931430445</v>
      </c>
      <c r="G572" s="373">
        <f t="shared" si="113"/>
        <v>0.42059781351936321</v>
      </c>
      <c r="H572" s="374">
        <f t="shared" si="114"/>
        <v>0.6969011358889895</v>
      </c>
      <c r="I572" s="115">
        <f t="shared" si="117"/>
        <v>0</v>
      </c>
      <c r="J572" s="113">
        <f t="shared" si="117"/>
        <v>0</v>
      </c>
      <c r="K572" s="113">
        <f t="shared" si="101"/>
        <v>0</v>
      </c>
      <c r="L572" s="350">
        <f t="shared" si="115"/>
        <v>0.1252213172617829</v>
      </c>
      <c r="M572" s="351">
        <f t="shared" si="116"/>
        <v>1.3081089871378191E-2</v>
      </c>
      <c r="N572" s="113">
        <v>0</v>
      </c>
      <c r="O572" s="113">
        <f t="shared" si="102"/>
        <v>2.3463725326735672</v>
      </c>
      <c r="P572" s="113">
        <f t="shared" si="118"/>
        <v>5.4592113762606598</v>
      </c>
      <c r="Q572" s="114">
        <f t="shared" si="119"/>
        <v>1.0684643987568778</v>
      </c>
      <c r="R572" s="114">
        <f t="shared" si="119"/>
        <v>-5.0386135627412969</v>
      </c>
      <c r="S572" s="113">
        <f t="shared" si="105"/>
        <v>0.79559360660549294</v>
      </c>
      <c r="T572" s="113">
        <f t="shared" si="106"/>
        <v>17.692665839206558</v>
      </c>
      <c r="U572" s="113">
        <f t="shared" si="120"/>
        <v>-3.7518224672124543</v>
      </c>
      <c r="V572" s="112">
        <f t="shared" si="108"/>
        <v>0</v>
      </c>
      <c r="W572" s="112">
        <f t="shared" si="109"/>
        <v>0</v>
      </c>
      <c r="X572" s="112">
        <f t="shared" si="110"/>
        <v>0</v>
      </c>
      <c r="Z572" s="111"/>
      <c r="AA572" s="111"/>
    </row>
    <row r="573" spans="1:30" x14ac:dyDescent="0.25">
      <c r="B573" s="96">
        <v>36</v>
      </c>
      <c r="C573" s="361">
        <v>0</v>
      </c>
      <c r="D573" s="362">
        <f t="shared" si="111"/>
        <v>2760.7739999999999</v>
      </c>
      <c r="E573" s="118">
        <f t="shared" si="99"/>
        <v>0</v>
      </c>
      <c r="F573" s="372">
        <f t="shared" si="112"/>
        <v>3.8991120102799637</v>
      </c>
      <c r="G573" s="373">
        <f t="shared" si="113"/>
        <v>0.42311349863934522</v>
      </c>
      <c r="H573" s="374">
        <f t="shared" si="114"/>
        <v>0.70075693028147257</v>
      </c>
      <c r="I573" s="115">
        <f t="shared" si="117"/>
        <v>0</v>
      </c>
      <c r="J573" s="113">
        <f t="shared" si="117"/>
        <v>0</v>
      </c>
      <c r="K573" s="113">
        <f t="shared" si="101"/>
        <v>0</v>
      </c>
      <c r="L573" s="350">
        <f t="shared" si="115"/>
        <v>0.11753123354720663</v>
      </c>
      <c r="M573" s="351">
        <f t="shared" si="116"/>
        <v>1.4247997150340664E-2</v>
      </c>
      <c r="N573" s="113">
        <v>0</v>
      </c>
      <c r="O573" s="113">
        <f t="shared" si="102"/>
        <v>2.3463725326735672</v>
      </c>
      <c r="P573" s="113">
        <f t="shared" si="118"/>
        <v>5.4592113762606598</v>
      </c>
      <c r="Q573" s="114">
        <f t="shared" si="119"/>
        <v>1.5527394776063965</v>
      </c>
      <c r="R573" s="114">
        <f t="shared" si="119"/>
        <v>-5.0360978776213141</v>
      </c>
      <c r="S573" s="113">
        <f t="shared" si="105"/>
        <v>1.6895248785439931</v>
      </c>
      <c r="T573" s="113">
        <f t="shared" si="106"/>
        <v>17.772794762213959</v>
      </c>
      <c r="U573" s="113">
        <f t="shared" si="120"/>
        <v>-5.4797425954160346</v>
      </c>
      <c r="V573" s="112">
        <f t="shared" si="108"/>
        <v>0</v>
      </c>
      <c r="W573" s="112">
        <f t="shared" si="109"/>
        <v>0</v>
      </c>
      <c r="X573" s="112">
        <f t="shared" si="110"/>
        <v>0</v>
      </c>
      <c r="Z573" s="111"/>
      <c r="AA573" s="111"/>
    </row>
    <row r="574" spans="1:30" x14ac:dyDescent="0.25">
      <c r="B574" s="96">
        <v>37</v>
      </c>
      <c r="C574" s="361">
        <v>0</v>
      </c>
      <c r="D574" s="362">
        <f t="shared" si="111"/>
        <v>2760.7739999999999</v>
      </c>
      <c r="E574" s="118">
        <f t="shared" si="99"/>
        <v>0</v>
      </c>
      <c r="F574" s="372">
        <f t="shared" si="112"/>
        <v>4.4006005316054226</v>
      </c>
      <c r="G574" s="373">
        <f t="shared" si="113"/>
        <v>0.41990986646233713</v>
      </c>
      <c r="H574" s="374">
        <f t="shared" si="114"/>
        <v>0.68589408754058467</v>
      </c>
      <c r="I574" s="115">
        <f t="shared" si="117"/>
        <v>0</v>
      </c>
      <c r="J574" s="113">
        <f t="shared" si="117"/>
        <v>0</v>
      </c>
      <c r="K574" s="113">
        <f t="shared" si="101"/>
        <v>0</v>
      </c>
      <c r="L574" s="350">
        <f t="shared" si="115"/>
        <v>0.10377908938633797</v>
      </c>
      <c r="M574" s="351">
        <f t="shared" si="116"/>
        <v>1.4810028325708881E-2</v>
      </c>
      <c r="N574" s="113">
        <v>0</v>
      </c>
      <c r="O574" s="113">
        <f t="shared" si="102"/>
        <v>2.3463725326735672</v>
      </c>
      <c r="P574" s="113">
        <f t="shared" si="118"/>
        <v>5.4592113762606598</v>
      </c>
      <c r="Q574" s="114">
        <f t="shared" si="119"/>
        <v>2.0542279989318555</v>
      </c>
      <c r="R574" s="114">
        <f t="shared" si="119"/>
        <v>-5.0393015097983227</v>
      </c>
      <c r="S574" s="113">
        <f t="shared" si="105"/>
        <v>2.8943719977397455</v>
      </c>
      <c r="T574" s="113">
        <f t="shared" si="106"/>
        <v>17.417978358491478</v>
      </c>
      <c r="U574" s="113">
        <f t="shared" si="120"/>
        <v>-7.1002893474882161</v>
      </c>
      <c r="V574" s="112">
        <f t="shared" si="108"/>
        <v>0</v>
      </c>
      <c r="W574" s="112">
        <f t="shared" si="109"/>
        <v>0</v>
      </c>
      <c r="X574" s="112">
        <f t="shared" si="110"/>
        <v>0</v>
      </c>
      <c r="Z574" s="111"/>
      <c r="AA574" s="111"/>
    </row>
    <row r="575" spans="1:30" x14ac:dyDescent="0.25">
      <c r="B575" s="96">
        <v>38</v>
      </c>
      <c r="C575" s="361">
        <v>0</v>
      </c>
      <c r="D575" s="362">
        <f t="shared" si="111"/>
        <v>2760.7739999999999</v>
      </c>
      <c r="E575" s="118">
        <f t="shared" si="99"/>
        <v>0</v>
      </c>
      <c r="F575" s="372">
        <f t="shared" si="112"/>
        <v>4.9150258637357815</v>
      </c>
      <c r="G575" s="373">
        <f t="shared" si="113"/>
        <v>0.41096403081278327</v>
      </c>
      <c r="H575" s="374">
        <f t="shared" si="114"/>
        <v>0.65350081026649576</v>
      </c>
      <c r="I575" s="115">
        <f t="shared" si="117"/>
        <v>0</v>
      </c>
      <c r="J575" s="113">
        <f t="shared" si="117"/>
        <v>0</v>
      </c>
      <c r="K575" s="113">
        <f t="shared" si="101"/>
        <v>0</v>
      </c>
      <c r="L575" s="350">
        <f t="shared" si="115"/>
        <v>8.6068359079865611E-2</v>
      </c>
      <c r="M575" s="351">
        <f t="shared" si="116"/>
        <v>1.471561802896163E-2</v>
      </c>
      <c r="N575" s="113">
        <v>0</v>
      </c>
      <c r="O575" s="113">
        <f t="shared" si="102"/>
        <v>2.3463725326735672</v>
      </c>
      <c r="P575" s="113">
        <f t="shared" si="118"/>
        <v>5.4592113762606598</v>
      </c>
      <c r="Q575" s="114">
        <f t="shared" si="119"/>
        <v>2.5686533310622144</v>
      </c>
      <c r="R575" s="114">
        <f t="shared" si="119"/>
        <v>-5.0482473454478765</v>
      </c>
      <c r="S575" s="113">
        <f t="shared" si="105"/>
        <v>4.3117852337602569</v>
      </c>
      <c r="T575" s="113">
        <f t="shared" si="106"/>
        <v>16.654338273427484</v>
      </c>
      <c r="U575" s="113">
        <f t="shared" si="120"/>
        <v>-8.4740739815871873</v>
      </c>
      <c r="V575" s="112">
        <f t="shared" si="108"/>
        <v>0</v>
      </c>
      <c r="W575" s="112">
        <f t="shared" si="109"/>
        <v>0</v>
      </c>
      <c r="X575" s="112">
        <f t="shared" si="110"/>
        <v>0</v>
      </c>
      <c r="Z575" s="111"/>
      <c r="AA575" s="111"/>
    </row>
    <row r="576" spans="1:30" x14ac:dyDescent="0.25">
      <c r="B576" s="96">
        <v>39</v>
      </c>
      <c r="C576" s="361">
        <v>0</v>
      </c>
      <c r="D576" s="362">
        <f t="shared" si="111"/>
        <v>2760.7739999999999</v>
      </c>
      <c r="E576" s="118">
        <f t="shared" si="99"/>
        <v>0</v>
      </c>
      <c r="F576" s="372">
        <f t="shared" si="112"/>
        <v>5.4379510013123342</v>
      </c>
      <c r="G576" s="373">
        <f t="shared" si="113"/>
        <v>0.39616287543559164</v>
      </c>
      <c r="H576" s="374">
        <f t="shared" si="114"/>
        <v>0.60555526376351465</v>
      </c>
      <c r="I576" s="115">
        <f t="shared" si="117"/>
        <v>0</v>
      </c>
      <c r="J576" s="113">
        <f t="shared" si="117"/>
        <v>0</v>
      </c>
      <c r="K576" s="113">
        <f t="shared" si="101"/>
        <v>0</v>
      </c>
      <c r="L576" s="350">
        <f t="shared" si="115"/>
        <v>6.6875368189934892E-2</v>
      </c>
      <c r="M576" s="351">
        <f t="shared" si="116"/>
        <v>1.3963248145728142E-2</v>
      </c>
      <c r="N576" s="113">
        <v>0</v>
      </c>
      <c r="O576" s="113">
        <f t="shared" si="102"/>
        <v>2.3463725326735672</v>
      </c>
      <c r="P576" s="113">
        <f t="shared" si="118"/>
        <v>5.4592113762606598</v>
      </c>
      <c r="Q576" s="114">
        <f t="shared" si="119"/>
        <v>3.0915784686387671</v>
      </c>
      <c r="R576" s="114">
        <f t="shared" si="119"/>
        <v>-5.0630485008250679</v>
      </c>
      <c r="S576" s="113">
        <f t="shared" si="105"/>
        <v>5.7878108756757172</v>
      </c>
      <c r="T576" s="113">
        <f t="shared" si="106"/>
        <v>15.523082260435562</v>
      </c>
      <c r="U576" s="113">
        <f t="shared" si="120"/>
        <v>-9.478642536300109</v>
      </c>
      <c r="V576" s="112">
        <f t="shared" si="108"/>
        <v>0</v>
      </c>
      <c r="W576" s="112">
        <f t="shared" si="109"/>
        <v>0</v>
      </c>
      <c r="X576" s="112">
        <f t="shared" si="110"/>
        <v>0</v>
      </c>
      <c r="Z576" s="111"/>
      <c r="AA576" s="111"/>
    </row>
    <row r="577" spans="2:27" x14ac:dyDescent="0.25">
      <c r="B577" s="96">
        <v>40</v>
      </c>
      <c r="C577" s="361">
        <v>0</v>
      </c>
      <c r="D577" s="362">
        <f t="shared" si="111"/>
        <v>2760.7739999999999</v>
      </c>
      <c r="E577" s="118">
        <f t="shared" si="99"/>
        <v>0</v>
      </c>
      <c r="F577" s="372">
        <f t="shared" si="112"/>
        <v>5.9646181916010477</v>
      </c>
      <c r="G577" s="373">
        <f t="shared" si="113"/>
        <v>0.37437198736598587</v>
      </c>
      <c r="H577" s="374">
        <f t="shared" si="114"/>
        <v>0.54634888054122188</v>
      </c>
      <c r="I577" s="115">
        <f t="shared" si="117"/>
        <v>0</v>
      </c>
      <c r="J577" s="113">
        <f t="shared" si="117"/>
        <v>0</v>
      </c>
      <c r="K577" s="113">
        <f t="shared" si="101"/>
        <v>0</v>
      </c>
      <c r="L577" s="350">
        <f t="shared" si="115"/>
        <v>4.8876385072019045E-2</v>
      </c>
      <c r="M577" s="351">
        <f t="shared" si="116"/>
        <v>1.2659561426197251E-2</v>
      </c>
      <c r="N577" s="113">
        <v>0</v>
      </c>
      <c r="O577" s="113">
        <f t="shared" si="102"/>
        <v>2.3463725326735672</v>
      </c>
      <c r="P577" s="113">
        <f t="shared" si="118"/>
        <v>5.4592113762606598</v>
      </c>
      <c r="Q577" s="114">
        <f t="shared" si="119"/>
        <v>3.6182456589274805</v>
      </c>
      <c r="R577" s="114">
        <f t="shared" si="119"/>
        <v>-5.0848393888946735</v>
      </c>
      <c r="S577" s="113">
        <f t="shared" si="105"/>
        <v>7.152636539954357</v>
      </c>
      <c r="T577" s="113">
        <f t="shared" si="106"/>
        <v>14.126173532321504</v>
      </c>
      <c r="U577" s="113">
        <f t="shared" si="120"/>
        <v>-10.051834905977064</v>
      </c>
      <c r="V577" s="112">
        <f t="shared" si="108"/>
        <v>0</v>
      </c>
      <c r="W577" s="112">
        <f t="shared" si="109"/>
        <v>0</v>
      </c>
      <c r="X577" s="112">
        <f t="shared" si="110"/>
        <v>0</v>
      </c>
      <c r="Z577" s="111"/>
      <c r="AA577" s="111"/>
    </row>
    <row r="578" spans="2:27" x14ac:dyDescent="0.25">
      <c r="B578" s="96">
        <v>41</v>
      </c>
      <c r="C578" s="361">
        <v>0</v>
      </c>
      <c r="D578" s="362">
        <f t="shared" si="111"/>
        <v>2760.7739999999999</v>
      </c>
      <c r="E578" s="118">
        <f t="shared" si="99"/>
        <v>0</v>
      </c>
      <c r="F578" s="372">
        <f t="shared" si="112"/>
        <v>6.4902162239720003</v>
      </c>
      <c r="G578" s="373">
        <f t="shared" si="113"/>
        <v>0.34807108152991545</v>
      </c>
      <c r="H578" s="374">
        <f t="shared" si="114"/>
        <v>0.47738181868568963</v>
      </c>
      <c r="I578" s="115">
        <f t="shared" si="117"/>
        <v>0</v>
      </c>
      <c r="J578" s="113">
        <f t="shared" si="117"/>
        <v>0</v>
      </c>
      <c r="K578" s="113">
        <f t="shared" si="101"/>
        <v>0</v>
      </c>
      <c r="L578" s="350">
        <f t="shared" si="115"/>
        <v>3.3032428596529551E-2</v>
      </c>
      <c r="M578" s="351">
        <f t="shared" si="116"/>
        <v>1.0918437733454472E-2</v>
      </c>
      <c r="N578" s="113">
        <v>0</v>
      </c>
      <c r="O578" s="113">
        <f t="shared" si="102"/>
        <v>2.3463725326735672</v>
      </c>
      <c r="P578" s="113">
        <f t="shared" si="118"/>
        <v>5.4592113762606598</v>
      </c>
      <c r="Q578" s="114">
        <f t="shared" si="119"/>
        <v>4.1438436912984331</v>
      </c>
      <c r="R578" s="114">
        <f t="shared" si="119"/>
        <v>-5.1111402947307445</v>
      </c>
      <c r="S578" s="113">
        <f t="shared" si="105"/>
        <v>8.1973335134424783</v>
      </c>
      <c r="T578" s="113">
        <f t="shared" si="106"/>
        <v>12.471005726466776</v>
      </c>
      <c r="U578" s="113">
        <f t="shared" si="120"/>
        <v>-10.110835434715529</v>
      </c>
      <c r="V578" s="112">
        <f t="shared" si="108"/>
        <v>0</v>
      </c>
      <c r="W578" s="112">
        <f t="shared" si="109"/>
        <v>0</v>
      </c>
      <c r="X578" s="112">
        <f t="shared" si="110"/>
        <v>0</v>
      </c>
      <c r="Z578" s="111"/>
      <c r="AA578" s="111"/>
    </row>
    <row r="579" spans="2:27" x14ac:dyDescent="0.25">
      <c r="B579" s="96">
        <v>42</v>
      </c>
      <c r="C579" s="361">
        <v>0</v>
      </c>
      <c r="D579" s="362">
        <f t="shared" si="111"/>
        <v>2760.7739999999999</v>
      </c>
      <c r="E579" s="118">
        <f t="shared" si="99"/>
        <v>0</v>
      </c>
      <c r="F579" s="372">
        <f t="shared" si="112"/>
        <v>7.009773514107609</v>
      </c>
      <c r="G579" s="373">
        <f t="shared" si="113"/>
        <v>0.31733384223852545</v>
      </c>
      <c r="H579" s="374">
        <f t="shared" si="114"/>
        <v>0.40300061172051316</v>
      </c>
      <c r="I579" s="115">
        <f t="shared" si="117"/>
        <v>0</v>
      </c>
      <c r="J579" s="113">
        <f t="shared" si="117"/>
        <v>0</v>
      </c>
      <c r="K579" s="113">
        <f t="shared" si="101"/>
        <v>0</v>
      </c>
      <c r="L579" s="350">
        <f t="shared" si="115"/>
        <v>2.0546521380731285E-2</v>
      </c>
      <c r="M579" s="351">
        <f t="shared" si="116"/>
        <v>8.9150139061424851E-3</v>
      </c>
      <c r="N579" s="113">
        <v>0</v>
      </c>
      <c r="O579" s="113">
        <f t="shared" si="102"/>
        <v>2.3463725326735672</v>
      </c>
      <c r="P579" s="113">
        <f t="shared" si="118"/>
        <v>5.4592113762606598</v>
      </c>
      <c r="Q579" s="114">
        <f t="shared" si="119"/>
        <v>4.6634009814340418</v>
      </c>
      <c r="R579" s="114">
        <f t="shared" si="119"/>
        <v>-5.1418775340221341</v>
      </c>
      <c r="S579" s="113">
        <f t="shared" si="105"/>
        <v>8.7641787148717594</v>
      </c>
      <c r="T579" s="113">
        <f t="shared" si="106"/>
        <v>10.654894716897536</v>
      </c>
      <c r="U579" s="113">
        <f t="shared" si="120"/>
        <v>-9.6634052738686762</v>
      </c>
      <c r="V579" s="112">
        <f t="shared" si="108"/>
        <v>0</v>
      </c>
      <c r="W579" s="112">
        <f t="shared" si="109"/>
        <v>0</v>
      </c>
      <c r="X579" s="112">
        <f t="shared" si="110"/>
        <v>0</v>
      </c>
      <c r="Z579" s="111"/>
      <c r="AA579" s="111"/>
    </row>
    <row r="580" spans="2:27" x14ac:dyDescent="0.25">
      <c r="B580" s="96">
        <v>43</v>
      </c>
      <c r="C580" s="361">
        <v>0</v>
      </c>
      <c r="D580" s="362">
        <f t="shared" si="111"/>
        <v>2760.7739999999999</v>
      </c>
      <c r="E580" s="118">
        <f t="shared" si="99"/>
        <v>0</v>
      </c>
      <c r="F580" s="372">
        <f t="shared" si="112"/>
        <v>7.5180511882108458</v>
      </c>
      <c r="G580" s="373">
        <f t="shared" si="113"/>
        <v>0.28304540449609106</v>
      </c>
      <c r="H580" s="374">
        <f t="shared" si="114"/>
        <v>0.32745595554161544</v>
      </c>
      <c r="I580" s="115">
        <f t="shared" si="117"/>
        <v>0</v>
      </c>
      <c r="J580" s="113">
        <f t="shared" si="117"/>
        <v>0</v>
      </c>
      <c r="K580" s="113">
        <f t="shared" si="101"/>
        <v>0</v>
      </c>
      <c r="L580" s="350">
        <f t="shared" si="115"/>
        <v>1.164215175221424E-2</v>
      </c>
      <c r="M580" s="351">
        <f t="shared" si="116"/>
        <v>6.8582896969778149E-3</v>
      </c>
      <c r="N580" s="113">
        <v>0</v>
      </c>
      <c r="O580" s="113">
        <f t="shared" si="102"/>
        <v>2.3463725326735672</v>
      </c>
      <c r="P580" s="113">
        <f t="shared" si="118"/>
        <v>5.4592113762606598</v>
      </c>
      <c r="Q580" s="114">
        <f t="shared" si="119"/>
        <v>5.1716786555372787</v>
      </c>
      <c r="R580" s="114">
        <f t="shared" si="119"/>
        <v>-5.1761659717645685</v>
      </c>
      <c r="S580" s="113">
        <f t="shared" si="105"/>
        <v>8.7582221634951818</v>
      </c>
      <c r="T580" s="113">
        <f t="shared" si="106"/>
        <v>8.7734272700722418</v>
      </c>
      <c r="U580" s="113">
        <f t="shared" si="120"/>
        <v>-8.7658214199560174</v>
      </c>
      <c r="V580" s="112">
        <f t="shared" si="108"/>
        <v>0</v>
      </c>
      <c r="W580" s="112">
        <f t="shared" si="109"/>
        <v>0</v>
      </c>
      <c r="X580" s="112">
        <f t="shared" si="110"/>
        <v>0</v>
      </c>
      <c r="Z580" s="111"/>
      <c r="AA580" s="111"/>
    </row>
    <row r="581" spans="2:27" x14ac:dyDescent="0.25">
      <c r="B581" s="96">
        <v>44</v>
      </c>
      <c r="C581" s="361">
        <v>0</v>
      </c>
      <c r="D581" s="362">
        <f t="shared" si="111"/>
        <v>2760.7739999999999</v>
      </c>
      <c r="E581" s="118">
        <f t="shared" si="99"/>
        <v>0</v>
      </c>
      <c r="F581" s="372">
        <f t="shared" si="112"/>
        <v>8.0094896251093584</v>
      </c>
      <c r="G581" s="373">
        <f t="shared" si="113"/>
        <v>0.24641233208629829</v>
      </c>
      <c r="H581" s="374">
        <f t="shared" si="114"/>
        <v>0.25467313158714561</v>
      </c>
      <c r="I581" s="115">
        <f t="shared" si="117"/>
        <v>0</v>
      </c>
      <c r="J581" s="113">
        <f t="shared" si="117"/>
        <v>0</v>
      </c>
      <c r="K581" s="113">
        <f t="shared" si="101"/>
        <v>0</v>
      </c>
      <c r="L581" s="350">
        <f t="shared" si="115"/>
        <v>5.9359148599372599E-3</v>
      </c>
      <c r="M581" s="351">
        <f t="shared" si="116"/>
        <v>4.9213285456594959E-3</v>
      </c>
      <c r="N581" s="113">
        <v>0</v>
      </c>
      <c r="O581" s="113">
        <f t="shared" si="102"/>
        <v>2.3463725326735672</v>
      </c>
      <c r="P581" s="113">
        <f t="shared" si="118"/>
        <v>5.4592113762606598</v>
      </c>
      <c r="Q581" s="114">
        <f t="shared" si="119"/>
        <v>5.6631170924357912</v>
      </c>
      <c r="R581" s="114">
        <f t="shared" si="119"/>
        <v>-5.2127990441743615</v>
      </c>
      <c r="S581" s="113">
        <f t="shared" si="105"/>
        <v>8.1675953140590885</v>
      </c>
      <c r="T581" s="113">
        <f t="shared" si="106"/>
        <v>6.9203027532074488</v>
      </c>
      <c r="U581" s="113">
        <f t="shared" si="120"/>
        <v>-7.5181269169233476</v>
      </c>
      <c r="V581" s="112">
        <f t="shared" si="108"/>
        <v>0</v>
      </c>
      <c r="W581" s="112">
        <f t="shared" si="109"/>
        <v>0</v>
      </c>
      <c r="X581" s="112">
        <f t="shared" si="110"/>
        <v>0</v>
      </c>
      <c r="Z581" s="111"/>
      <c r="AA581" s="111"/>
    </row>
    <row r="582" spans="2:27" x14ac:dyDescent="0.25">
      <c r="B582" s="96">
        <v>45</v>
      </c>
      <c r="C582" s="361">
        <v>0</v>
      </c>
      <c r="D582" s="362">
        <f t="shared" si="111"/>
        <v>2760.7739999999999</v>
      </c>
      <c r="E582" s="118">
        <f t="shared" si="99"/>
        <v>0</v>
      </c>
      <c r="F582" s="372">
        <f t="shared" si="112"/>
        <v>8.4780480825678008</v>
      </c>
      <c r="G582" s="373">
        <f t="shared" si="113"/>
        <v>0.20884791518914264</v>
      </c>
      <c r="H582" s="374">
        <f t="shared" si="114"/>
        <v>0.18816782624483649</v>
      </c>
      <c r="I582" s="115">
        <f t="shared" si="117"/>
        <v>0</v>
      </c>
      <c r="J582" s="113">
        <f t="shared" si="117"/>
        <v>0</v>
      </c>
      <c r="K582" s="113">
        <f t="shared" si="101"/>
        <v>0</v>
      </c>
      <c r="L582" s="350">
        <f t="shared" si="115"/>
        <v>2.6751496150811266E-3</v>
      </c>
      <c r="M582" s="351">
        <f t="shared" si="116"/>
        <v>3.254399790305501E-3</v>
      </c>
      <c r="N582" s="113">
        <v>0</v>
      </c>
      <c r="O582" s="113">
        <f t="shared" si="102"/>
        <v>2.3463725326735672</v>
      </c>
      <c r="P582" s="113">
        <f t="shared" si="118"/>
        <v>5.4592113762606598</v>
      </c>
      <c r="Q582" s="114">
        <f t="shared" si="119"/>
        <v>6.1316755498942337</v>
      </c>
      <c r="R582" s="114">
        <f t="shared" si="119"/>
        <v>-5.2503634610715171</v>
      </c>
      <c r="S582" s="113">
        <f t="shared" si="105"/>
        <v>7.0746295072621503</v>
      </c>
      <c r="T582" s="113">
        <f t="shared" si="106"/>
        <v>5.1870938483684155</v>
      </c>
      <c r="U582" s="113">
        <f t="shared" si="120"/>
        <v>-6.0577856677671562</v>
      </c>
      <c r="V582" s="112">
        <f t="shared" si="108"/>
        <v>0</v>
      </c>
      <c r="W582" s="112">
        <f t="shared" si="109"/>
        <v>0</v>
      </c>
      <c r="X582" s="112">
        <f t="shared" si="110"/>
        <v>0</v>
      </c>
      <c r="Z582" s="111"/>
      <c r="AA582" s="111"/>
    </row>
    <row r="583" spans="2:27" x14ac:dyDescent="0.25">
      <c r="B583" s="96">
        <v>46</v>
      </c>
      <c r="C583" s="361">
        <v>0</v>
      </c>
      <c r="D583" s="362">
        <f t="shared" si="111"/>
        <v>2760.7739999999999</v>
      </c>
      <c r="E583" s="118">
        <f t="shared" si="99"/>
        <v>0</v>
      </c>
      <c r="F583" s="372">
        <f t="shared" si="112"/>
        <v>8.9172046972878363</v>
      </c>
      <c r="G583" s="373">
        <f t="shared" si="113"/>
        <v>0.17146715783564598</v>
      </c>
      <c r="H583" s="374">
        <f t="shared" si="114"/>
        <v>0.13064435906674721</v>
      </c>
      <c r="I583" s="115">
        <f t="shared" si="117"/>
        <v>0</v>
      </c>
      <c r="J583" s="113">
        <f t="shared" si="117"/>
        <v>0</v>
      </c>
      <c r="K583" s="113">
        <f t="shared" si="101"/>
        <v>0</v>
      </c>
      <c r="L583" s="350">
        <f t="shared" si="115"/>
        <v>1.0397614193120386E-3</v>
      </c>
      <c r="M583" s="351">
        <f t="shared" si="116"/>
        <v>1.9456578003950401E-3</v>
      </c>
      <c r="N583" s="113">
        <v>0</v>
      </c>
      <c r="O583" s="113">
        <f t="shared" si="102"/>
        <v>2.3463725326735672</v>
      </c>
      <c r="P583" s="113">
        <f t="shared" si="118"/>
        <v>5.4592113762606598</v>
      </c>
      <c r="Q583" s="114">
        <f t="shared" si="119"/>
        <v>6.5708321646142691</v>
      </c>
      <c r="R583" s="114">
        <f t="shared" si="119"/>
        <v>-5.2877442184250141</v>
      </c>
      <c r="S583" s="113">
        <f t="shared" si="105"/>
        <v>5.6406793345816606</v>
      </c>
      <c r="T583" s="113">
        <f t="shared" si="106"/>
        <v>3.6528474929895212</v>
      </c>
      <c r="U583" s="113">
        <f t="shared" si="120"/>
        <v>-4.5392225508433066</v>
      </c>
      <c r="V583" s="112">
        <f t="shared" si="108"/>
        <v>0</v>
      </c>
      <c r="W583" s="112">
        <f t="shared" si="109"/>
        <v>0</v>
      </c>
      <c r="X583" s="112">
        <f t="shared" si="110"/>
        <v>0</v>
      </c>
      <c r="Z583" s="111"/>
      <c r="AA583" s="111"/>
    </row>
    <row r="584" spans="2:27" x14ac:dyDescent="0.25">
      <c r="B584" s="96">
        <v>47</v>
      </c>
      <c r="C584" s="361">
        <v>0</v>
      </c>
      <c r="D584" s="362">
        <f t="shared" si="111"/>
        <v>2760.7739999999999</v>
      </c>
      <c r="E584" s="118">
        <f t="shared" si="99"/>
        <v>0</v>
      </c>
      <c r="F584" s="372">
        <f t="shared" si="112"/>
        <v>9.3202772322834591</v>
      </c>
      <c r="G584" s="373">
        <f t="shared" si="113"/>
        <v>0.13307202644962787</v>
      </c>
      <c r="H584" s="374">
        <f t="shared" si="114"/>
        <v>8.5619530350971876E-2</v>
      </c>
      <c r="I584" s="115">
        <f t="shared" si="117"/>
        <v>0</v>
      </c>
      <c r="J584" s="113">
        <f t="shared" si="117"/>
        <v>0</v>
      </c>
      <c r="K584" s="113">
        <f t="shared" si="101"/>
        <v>0</v>
      </c>
      <c r="L584" s="350">
        <f t="shared" si="115"/>
        <v>3.5582216209813379E-4</v>
      </c>
      <c r="M584" s="351">
        <f t="shared" si="116"/>
        <v>1.0488077279244036E-3</v>
      </c>
      <c r="N584" s="113">
        <v>0</v>
      </c>
      <c r="O584" s="113">
        <f t="shared" si="102"/>
        <v>2.3463725326735672</v>
      </c>
      <c r="P584" s="113">
        <f t="shared" si="118"/>
        <v>5.4592113762606598</v>
      </c>
      <c r="Q584" s="114">
        <f t="shared" si="119"/>
        <v>6.9739046996098919</v>
      </c>
      <c r="R584" s="114">
        <f t="shared" si="119"/>
        <v>-5.3261393498110321</v>
      </c>
      <c r="S584" s="113">
        <f t="shared" si="105"/>
        <v>4.1641355479828714</v>
      </c>
      <c r="T584" s="113">
        <f t="shared" si="106"/>
        <v>2.4288343202970122</v>
      </c>
      <c r="U584" s="113">
        <f t="shared" si="120"/>
        <v>-3.1802508286783926</v>
      </c>
      <c r="V584" s="112">
        <f t="shared" si="108"/>
        <v>0</v>
      </c>
      <c r="W584" s="112">
        <f t="shared" si="109"/>
        <v>0</v>
      </c>
      <c r="X584" s="112">
        <f t="shared" si="110"/>
        <v>0</v>
      </c>
      <c r="Z584" s="111"/>
      <c r="AA584" s="111"/>
    </row>
    <row r="585" spans="2:27" x14ac:dyDescent="0.25">
      <c r="B585" s="96">
        <v>48</v>
      </c>
      <c r="C585" s="361">
        <v>0</v>
      </c>
      <c r="D585" s="362">
        <f t="shared" si="111"/>
        <v>2760.7739999999999</v>
      </c>
      <c r="E585" s="118">
        <f t="shared" si="99"/>
        <v>0</v>
      </c>
      <c r="F585" s="372">
        <f t="shared" si="112"/>
        <v>9.6809041979440025</v>
      </c>
      <c r="G585" s="373">
        <f t="shared" si="113"/>
        <v>9.8476510809335616E-2</v>
      </c>
      <c r="H585" s="374">
        <f t="shared" si="114"/>
        <v>5.0132446458609418E-2</v>
      </c>
      <c r="I585" s="115">
        <f t="shared" si="117"/>
        <v>0</v>
      </c>
      <c r="J585" s="113">
        <f t="shared" si="117"/>
        <v>0</v>
      </c>
      <c r="K585" s="113">
        <f t="shared" si="101"/>
        <v>0</v>
      </c>
      <c r="L585" s="350">
        <f t="shared" si="115"/>
        <v>9.1985118392595215E-5</v>
      </c>
      <c r="M585" s="351">
        <f t="shared" si="116"/>
        <v>4.7686509088171761E-4</v>
      </c>
      <c r="N585" s="113">
        <v>0</v>
      </c>
      <c r="O585" s="113">
        <f t="shared" si="102"/>
        <v>2.3463725326735672</v>
      </c>
      <c r="P585" s="113">
        <f t="shared" si="118"/>
        <v>5.4592113762606598</v>
      </c>
      <c r="Q585" s="114">
        <f t="shared" si="119"/>
        <v>7.3345316652704353</v>
      </c>
      <c r="R585" s="114">
        <f t="shared" si="119"/>
        <v>-5.3607348654513238</v>
      </c>
      <c r="S585" s="113">
        <f t="shared" si="105"/>
        <v>2.6968927416688584</v>
      </c>
      <c r="T585" s="113">
        <f t="shared" si="106"/>
        <v>1.4406800921131619</v>
      </c>
      <c r="U585" s="113">
        <f t="shared" si="120"/>
        <v>-1.9711315743721445</v>
      </c>
      <c r="V585" s="112">
        <f t="shared" si="108"/>
        <v>0</v>
      </c>
      <c r="W585" s="112">
        <f t="shared" si="109"/>
        <v>0</v>
      </c>
      <c r="X585" s="112">
        <f t="shared" si="110"/>
        <v>0</v>
      </c>
      <c r="Z585" s="111"/>
      <c r="AA585" s="111"/>
    </row>
    <row r="586" spans="2:27" x14ac:dyDescent="0.25">
      <c r="B586" s="96">
        <v>49</v>
      </c>
      <c r="C586" s="361">
        <v>0</v>
      </c>
      <c r="D586" s="362">
        <f t="shared" si="111"/>
        <v>2760.7739999999999</v>
      </c>
      <c r="E586" s="118">
        <f t="shared" si="99"/>
        <v>0</v>
      </c>
      <c r="F586" s="372">
        <f t="shared" si="112"/>
        <v>9.9936863467847736</v>
      </c>
      <c r="G586" s="373">
        <f t="shared" si="113"/>
        <v>6.6538860538588623E-2</v>
      </c>
      <c r="H586" s="374">
        <f t="shared" si="114"/>
        <v>2.5448502226843622E-2</v>
      </c>
      <c r="I586" s="115">
        <f t="shared" si="117"/>
        <v>0</v>
      </c>
      <c r="J586" s="113">
        <f t="shared" si="117"/>
        <v>0</v>
      </c>
      <c r="K586" s="113">
        <f t="shared" si="101"/>
        <v>0</v>
      </c>
      <c r="L586" s="350">
        <f t="shared" si="115"/>
        <v>1.6591831417388669E-5</v>
      </c>
      <c r="M586" s="351">
        <f t="shared" si="116"/>
        <v>1.7554646542734714E-4</v>
      </c>
      <c r="N586" s="113">
        <v>0</v>
      </c>
      <c r="O586" s="113">
        <f t="shared" si="102"/>
        <v>2.3463725326735672</v>
      </c>
      <c r="P586" s="113">
        <f t="shared" si="118"/>
        <v>5.4592113762606598</v>
      </c>
      <c r="Q586" s="114">
        <f t="shared" si="119"/>
        <v>7.6473138141112065</v>
      </c>
      <c r="R586" s="114">
        <f t="shared" si="119"/>
        <v>-5.3926725157220714</v>
      </c>
      <c r="S586" s="113">
        <f t="shared" si="105"/>
        <v>1.4882642562606698</v>
      </c>
      <c r="T586" s="113">
        <f t="shared" si="106"/>
        <v>0.7400657775167877</v>
      </c>
      <c r="U586" s="113">
        <f t="shared" si="120"/>
        <v>-1.049482464817777</v>
      </c>
      <c r="V586" s="112">
        <f t="shared" si="108"/>
        <v>0</v>
      </c>
      <c r="W586" s="112">
        <f t="shared" si="109"/>
        <v>0</v>
      </c>
      <c r="X586" s="112">
        <f t="shared" si="110"/>
        <v>0</v>
      </c>
      <c r="Z586" s="111"/>
      <c r="AA586" s="111"/>
    </row>
    <row r="587" spans="2:27" x14ac:dyDescent="0.25">
      <c r="B587" s="96">
        <v>50</v>
      </c>
      <c r="C587" s="361">
        <v>0</v>
      </c>
      <c r="D587" s="362">
        <f t="shared" si="111"/>
        <v>2760.7739999999999</v>
      </c>
      <c r="E587" s="118">
        <f t="shared" si="99"/>
        <v>0</v>
      </c>
      <c r="F587" s="372">
        <f t="shared" si="112"/>
        <v>10.254400505030617</v>
      </c>
      <c r="G587" s="373">
        <f t="shared" si="113"/>
        <v>3.8930766787628267E-2</v>
      </c>
      <c r="H587" s="374">
        <f t="shared" si="114"/>
        <v>1.0338816208811602E-2</v>
      </c>
      <c r="I587" s="115">
        <f t="shared" si="117"/>
        <v>0</v>
      </c>
      <c r="J587" s="113">
        <f t="shared" si="117"/>
        <v>0</v>
      </c>
      <c r="K587" s="113">
        <f t="shared" si="101"/>
        <v>0</v>
      </c>
      <c r="L587" s="350">
        <f t="shared" si="115"/>
        <v>1.6859596278852269E-6</v>
      </c>
      <c r="M587" s="351">
        <f t="shared" si="116"/>
        <v>4.7062348688452648E-5</v>
      </c>
      <c r="N587" s="113">
        <v>0</v>
      </c>
      <c r="O587" s="113">
        <f t="shared" si="102"/>
        <v>2.3463725326735672</v>
      </c>
      <c r="P587" s="113">
        <f t="shared" si="118"/>
        <v>5.4592113762606598</v>
      </c>
      <c r="Q587" s="114">
        <f t="shared" si="119"/>
        <v>7.9080279723570497</v>
      </c>
      <c r="R587" s="114">
        <f t="shared" si="119"/>
        <v>-5.4202806094730311</v>
      </c>
      <c r="S587" s="113">
        <f t="shared" si="105"/>
        <v>0.64655758165699351</v>
      </c>
      <c r="T587" s="113">
        <f t="shared" si="106"/>
        <v>0.30374864997091527</v>
      </c>
      <c r="U587" s="113">
        <f t="shared" si="120"/>
        <v>-0.44316023350112499</v>
      </c>
      <c r="V587" s="112">
        <f t="shared" si="108"/>
        <v>0</v>
      </c>
      <c r="W587" s="112">
        <f t="shared" si="109"/>
        <v>0</v>
      </c>
      <c r="X587" s="112">
        <f t="shared" si="110"/>
        <v>0</v>
      </c>
      <c r="Z587" s="111"/>
      <c r="AA587" s="111"/>
    </row>
    <row r="588" spans="2:27" x14ac:dyDescent="0.25">
      <c r="B588" s="96">
        <v>51</v>
      </c>
      <c r="C588" s="361">
        <v>0</v>
      </c>
      <c r="D588" s="362">
        <f t="shared" si="111"/>
        <v>2760.7739999999999</v>
      </c>
      <c r="E588" s="118">
        <f t="shared" si="99"/>
        <v>0</v>
      </c>
      <c r="F588" s="372">
        <f t="shared" si="112"/>
        <v>10.458395835739278</v>
      </c>
      <c r="G588" s="373">
        <f t="shared" si="113"/>
        <v>1.7719642551818363E-2</v>
      </c>
      <c r="H588" s="374">
        <f t="shared" si="114"/>
        <v>2.8420325543757553E-3</v>
      </c>
      <c r="I588" s="115">
        <f t="shared" si="117"/>
        <v>0</v>
      </c>
      <c r="J588" s="113">
        <f t="shared" si="117"/>
        <v>0</v>
      </c>
      <c r="K588" s="113">
        <f t="shared" si="101"/>
        <v>0</v>
      </c>
      <c r="L588" s="350">
        <f t="shared" si="115"/>
        <v>6.2986427573799752E-8</v>
      </c>
      <c r="M588" s="351">
        <f t="shared" si="116"/>
        <v>7.1929447441560496E-6</v>
      </c>
      <c r="N588" s="113">
        <v>0</v>
      </c>
      <c r="O588" s="113">
        <f t="shared" si="102"/>
        <v>2.3463725326735672</v>
      </c>
      <c r="P588" s="113">
        <f t="shared" si="118"/>
        <v>5.4592113762606598</v>
      </c>
      <c r="Q588" s="114">
        <f t="shared" si="119"/>
        <v>8.1120233030657118</v>
      </c>
      <c r="R588" s="114">
        <f t="shared" si="119"/>
        <v>-5.4414917337088413</v>
      </c>
      <c r="S588" s="113">
        <f t="shared" si="105"/>
        <v>0.187019730759625</v>
      </c>
      <c r="T588" s="113">
        <f t="shared" si="106"/>
        <v>8.415210729216388E-2</v>
      </c>
      <c r="U588" s="113">
        <f t="shared" si="120"/>
        <v>-0.12545160201701519</v>
      </c>
      <c r="V588" s="112">
        <f t="shared" si="108"/>
        <v>0</v>
      </c>
      <c r="W588" s="112">
        <f t="shared" si="109"/>
        <v>0</v>
      </c>
      <c r="X588" s="112">
        <f t="shared" si="110"/>
        <v>0</v>
      </c>
      <c r="Z588" s="111"/>
      <c r="AA588" s="111"/>
    </row>
    <row r="589" spans="2:27" x14ac:dyDescent="0.25">
      <c r="B589" s="96">
        <v>52</v>
      </c>
      <c r="C589" s="361">
        <v>0</v>
      </c>
      <c r="D589" s="362">
        <f t="shared" si="111"/>
        <v>2760.7739999999999</v>
      </c>
      <c r="E589" s="118">
        <f t="shared" si="99"/>
        <v>0</v>
      </c>
      <c r="F589" s="372">
        <f t="shared" si="112"/>
        <v>10.599952344050738</v>
      </c>
      <c r="G589" s="373">
        <f t="shared" si="113"/>
        <v>4.466068383793635E-3</v>
      </c>
      <c r="H589" s="374">
        <f t="shared" si="114"/>
        <v>3.5441261760261664E-4</v>
      </c>
      <c r="I589" s="115">
        <f t="shared" si="117"/>
        <v>0</v>
      </c>
      <c r="J589" s="113">
        <f t="shared" si="117"/>
        <v>0</v>
      </c>
      <c r="K589" s="113">
        <f t="shared" si="101"/>
        <v>0</v>
      </c>
      <c r="L589" s="350">
        <f t="shared" si="115"/>
        <v>3.1316052316848015E-10</v>
      </c>
      <c r="M589" s="351">
        <f t="shared" si="116"/>
        <v>3.4987039714843459E-7</v>
      </c>
      <c r="N589" s="113">
        <v>0</v>
      </c>
      <c r="O589" s="113">
        <f t="shared" si="102"/>
        <v>2.3463725326735672</v>
      </c>
      <c r="P589" s="113">
        <f t="shared" si="118"/>
        <v>5.4592113762606598</v>
      </c>
      <c r="Q589" s="114">
        <f t="shared" si="119"/>
        <v>8.2535798113771719</v>
      </c>
      <c r="R589" s="114">
        <f t="shared" si="119"/>
        <v>-5.4547453078768662</v>
      </c>
      <c r="S589" s="113">
        <f t="shared" si="105"/>
        <v>2.4143147377684998E-2</v>
      </c>
      <c r="T589" s="113">
        <f t="shared" si="106"/>
        <v>1.0545280342133284E-2</v>
      </c>
      <c r="U589" s="113">
        <f t="shared" si="120"/>
        <v>-1.5956072744855745E-2</v>
      </c>
      <c r="V589" s="112">
        <f t="shared" si="108"/>
        <v>0</v>
      </c>
      <c r="W589" s="112">
        <f t="shared" si="109"/>
        <v>0</v>
      </c>
      <c r="X589" s="112">
        <f t="shared" si="110"/>
        <v>0</v>
      </c>
      <c r="Z589" s="111"/>
      <c r="AA589" s="111"/>
    </row>
    <row r="590" spans="2:27" x14ac:dyDescent="0.25">
      <c r="B590" s="96">
        <v>53</v>
      </c>
      <c r="C590" s="361">
        <v>0</v>
      </c>
      <c r="D590" s="362">
        <f t="shared" si="111"/>
        <v>2760.7739999999999</v>
      </c>
      <c r="E590" s="118">
        <f t="shared" si="99"/>
        <v>0</v>
      </c>
      <c r="F590" s="372">
        <f t="shared" si="112"/>
        <v>10.672975829833767</v>
      </c>
      <c r="G590" s="373">
        <f t="shared" si="113"/>
        <v>0</v>
      </c>
      <c r="H590" s="374">
        <f t="shared" si="114"/>
        <v>0</v>
      </c>
      <c r="I590" s="115">
        <f t="shared" si="117"/>
        <v>0</v>
      </c>
      <c r="J590" s="113">
        <f t="shared" si="117"/>
        <v>0</v>
      </c>
      <c r="K590" s="113">
        <f t="shared" si="101"/>
        <v>0</v>
      </c>
      <c r="L590" s="352">
        <f t="shared" si="115"/>
        <v>0</v>
      </c>
      <c r="M590" s="351">
        <f t="shared" si="116"/>
        <v>0</v>
      </c>
      <c r="N590" s="113">
        <v>0</v>
      </c>
      <c r="O590" s="113">
        <f t="shared" si="102"/>
        <v>2.3463725326735672</v>
      </c>
      <c r="P590" s="113">
        <f t="shared" si="118"/>
        <v>5.4592113762606598</v>
      </c>
      <c r="Q590" s="114">
        <f t="shared" si="119"/>
        <v>8.3266032971602009</v>
      </c>
      <c r="R590" s="114">
        <f t="shared" si="119"/>
        <v>-5.4592113762606598</v>
      </c>
      <c r="S590" s="113">
        <f t="shared" si="105"/>
        <v>0</v>
      </c>
      <c r="T590" s="113">
        <f t="shared" si="106"/>
        <v>0</v>
      </c>
      <c r="U590" s="113">
        <f t="shared" si="120"/>
        <v>0</v>
      </c>
      <c r="V590" s="112">
        <f t="shared" si="108"/>
        <v>0</v>
      </c>
      <c r="W590" s="112">
        <f t="shared" si="109"/>
        <v>0</v>
      </c>
      <c r="X590" s="112">
        <f t="shared" si="110"/>
        <v>0</v>
      </c>
      <c r="Z590" s="111"/>
      <c r="AA590" s="111"/>
    </row>
    <row r="591" spans="2:27" x14ac:dyDescent="0.25">
      <c r="B591" s="96">
        <v>54</v>
      </c>
      <c r="C591" s="361">
        <v>0</v>
      </c>
      <c r="D591" s="362">
        <f t="shared" si="111"/>
        <v>2760.7739999999999</v>
      </c>
      <c r="E591" s="118">
        <f t="shared" si="99"/>
        <v>0</v>
      </c>
      <c r="F591" s="372"/>
      <c r="G591" s="373"/>
      <c r="H591" s="374"/>
      <c r="I591" s="115">
        <f t="shared" si="117"/>
        <v>0</v>
      </c>
      <c r="J591" s="113">
        <f t="shared" si="117"/>
        <v>0</v>
      </c>
      <c r="K591" s="113">
        <f t="shared" si="101"/>
        <v>0</v>
      </c>
      <c r="L591" s="350">
        <f>(Z591+AA591)/2+((Z591-AA591)/2)*COS(2*CG129)</f>
        <v>0</v>
      </c>
      <c r="M591" s="351">
        <f>(Z591+AA591)/2-((Z591*AA591)/2)*COS(2*CG129)</f>
        <v>0</v>
      </c>
      <c r="N591" s="113">
        <v>0</v>
      </c>
      <c r="O591" s="113">
        <f t="shared" si="102"/>
        <v>2.3463725326735672</v>
      </c>
      <c r="P591" s="113">
        <f t="shared" si="118"/>
        <v>5.4592113762606598</v>
      </c>
      <c r="Q591" s="114">
        <f t="shared" si="119"/>
        <v>-2.3463725326735672</v>
      </c>
      <c r="R591" s="114">
        <f t="shared" si="119"/>
        <v>-5.4592113762606598</v>
      </c>
      <c r="S591" s="113">
        <f t="shared" si="105"/>
        <v>0</v>
      </c>
      <c r="T591" s="113">
        <f t="shared" si="106"/>
        <v>0</v>
      </c>
      <c r="U591" s="113">
        <f t="shared" si="120"/>
        <v>0</v>
      </c>
      <c r="V591" s="112">
        <f t="shared" si="108"/>
        <v>0</v>
      </c>
      <c r="W591" s="112">
        <f t="shared" si="109"/>
        <v>0</v>
      </c>
      <c r="X591" s="112">
        <f t="shared" si="110"/>
        <v>0</v>
      </c>
      <c r="Z591" s="111"/>
      <c r="AA591" s="111"/>
    </row>
    <row r="592" spans="2:27" x14ac:dyDescent="0.25">
      <c r="B592" s="96">
        <v>55</v>
      </c>
      <c r="C592" s="361">
        <v>0</v>
      </c>
      <c r="D592" s="362">
        <f t="shared" si="111"/>
        <v>2760.7739999999999</v>
      </c>
      <c r="E592" s="118">
        <f t="shared" si="99"/>
        <v>0</v>
      </c>
      <c r="F592" s="372"/>
      <c r="G592" s="373"/>
      <c r="H592" s="374"/>
      <c r="I592" s="115">
        <f t="shared" si="117"/>
        <v>0</v>
      </c>
      <c r="J592" s="113">
        <f t="shared" si="117"/>
        <v>0</v>
      </c>
      <c r="K592" s="113">
        <f t="shared" si="101"/>
        <v>0</v>
      </c>
      <c r="L592" s="350">
        <f>(Z592+AA592)/2+((Z592-AA592)/2)*COS(2*CG130)</f>
        <v>0</v>
      </c>
      <c r="M592" s="351">
        <f>(Z592+AA592)/2-((Z592*AA592)/2)*COS(2*CG130)</f>
        <v>0</v>
      </c>
      <c r="N592" s="113">
        <v>0</v>
      </c>
      <c r="O592" s="113">
        <f t="shared" si="102"/>
        <v>2.3463725326735672</v>
      </c>
      <c r="P592" s="113">
        <f t="shared" si="118"/>
        <v>5.4592113762606598</v>
      </c>
      <c r="Q592" s="114">
        <f t="shared" si="119"/>
        <v>-2.3463725326735672</v>
      </c>
      <c r="R592" s="114">
        <f t="shared" si="119"/>
        <v>-5.4592113762606598</v>
      </c>
      <c r="S592" s="113">
        <f t="shared" si="105"/>
        <v>0</v>
      </c>
      <c r="T592" s="113">
        <f t="shared" si="106"/>
        <v>0</v>
      </c>
      <c r="U592" s="113">
        <f t="shared" si="120"/>
        <v>0</v>
      </c>
      <c r="V592" s="112">
        <f t="shared" si="108"/>
        <v>0</v>
      </c>
      <c r="W592" s="112">
        <f t="shared" si="109"/>
        <v>0</v>
      </c>
      <c r="X592" s="112">
        <f t="shared" si="110"/>
        <v>0</v>
      </c>
      <c r="Z592" s="111"/>
      <c r="AA592" s="111"/>
    </row>
    <row r="593" spans="1:27" x14ac:dyDescent="0.25">
      <c r="A593" s="530" t="s">
        <v>2062</v>
      </c>
      <c r="B593" s="96">
        <v>56</v>
      </c>
      <c r="C593" s="363">
        <v>0</v>
      </c>
      <c r="D593" s="364">
        <f t="shared" si="111"/>
        <v>2760.7739999999999</v>
      </c>
      <c r="E593" s="109">
        <f t="shared" si="99"/>
        <v>0</v>
      </c>
      <c r="F593" s="375">
        <f t="shared" ref="F593:F624" si="121">(Q107+Q106)/2</f>
        <v>5.5061632764654405E-3</v>
      </c>
      <c r="G593" s="376">
        <f t="shared" ref="G593:G624" si="122">N107/2</f>
        <v>-1.44455813017858E-2</v>
      </c>
      <c r="H593" s="377">
        <f t="shared" ref="H593:H624" si="123">(((N107-N106)^2+(M107-M106)^2)^(1/2))*$N$636</f>
        <v>9.2756323311403451E-5</v>
      </c>
      <c r="I593" s="106">
        <f t="shared" si="117"/>
        <v>0</v>
      </c>
      <c r="J593" s="104">
        <f t="shared" si="117"/>
        <v>0</v>
      </c>
      <c r="K593" s="104">
        <f t="shared" si="101"/>
        <v>0</v>
      </c>
      <c r="L593" s="209">
        <f t="shared" ref="L593:L624" si="124">(Z593+AA593)/2+((Z593-AA593)/2)*COS(2*AK107)</f>
        <v>0</v>
      </c>
      <c r="M593" s="353">
        <f t="shared" ref="M593:M624" si="125">(Z593+AA593)/2-((Z593*AA593)/2)*COS(2*AK107)</f>
        <v>0</v>
      </c>
      <c r="N593" s="104">
        <f t="shared" ref="N593:N624" si="126">((AA593-Z593)/2)*SIN(2*AK107)</f>
        <v>0</v>
      </c>
      <c r="O593" s="104">
        <f t="shared" si="102"/>
        <v>2.3463725326735672</v>
      </c>
      <c r="P593" s="104">
        <f t="shared" si="118"/>
        <v>5.4592113762606598</v>
      </c>
      <c r="Q593" s="105">
        <f t="shared" si="119"/>
        <v>-2.3408663693971019</v>
      </c>
      <c r="R593" s="105">
        <f t="shared" si="119"/>
        <v>-5.4736569575624454</v>
      </c>
      <c r="S593" s="104">
        <f t="shared" si="105"/>
        <v>5.0827268414919372E-4</v>
      </c>
      <c r="T593" s="104">
        <f t="shared" si="106"/>
        <v>2.7790648275915928E-3</v>
      </c>
      <c r="U593" s="104">
        <f t="shared" si="120"/>
        <v>1.1884959988761404E-3</v>
      </c>
      <c r="V593" s="103">
        <f t="shared" si="108"/>
        <v>0</v>
      </c>
      <c r="W593" s="103">
        <f t="shared" si="109"/>
        <v>0</v>
      </c>
      <c r="X593" s="103">
        <f t="shared" si="110"/>
        <v>0</v>
      </c>
      <c r="Z593" s="102"/>
      <c r="AA593" s="102"/>
    </row>
    <row r="594" spans="1:27" x14ac:dyDescent="0.25">
      <c r="A594" s="530"/>
      <c r="B594" s="96">
        <v>57</v>
      </c>
      <c r="C594" s="363">
        <v>0</v>
      </c>
      <c r="D594" s="364">
        <f t="shared" si="111"/>
        <v>2760.7739999999999</v>
      </c>
      <c r="E594" s="109">
        <f t="shared" si="99"/>
        <v>0</v>
      </c>
      <c r="F594" s="375">
        <f t="shared" si="121"/>
        <v>3.5549500765529297E-2</v>
      </c>
      <c r="G594" s="376">
        <f t="shared" si="122"/>
        <v>-6.3944994559909638E-2</v>
      </c>
      <c r="H594" s="377">
        <f t="shared" si="123"/>
        <v>3.3148383659624414E-4</v>
      </c>
      <c r="I594" s="106">
        <f t="shared" si="117"/>
        <v>0</v>
      </c>
      <c r="J594" s="104">
        <f t="shared" si="117"/>
        <v>0</v>
      </c>
      <c r="K594" s="104">
        <f t="shared" si="101"/>
        <v>0</v>
      </c>
      <c r="L594" s="209">
        <f t="shared" si="124"/>
        <v>0</v>
      </c>
      <c r="M594" s="353">
        <f t="shared" si="125"/>
        <v>0</v>
      </c>
      <c r="N594" s="104">
        <f t="shared" si="126"/>
        <v>0</v>
      </c>
      <c r="O594" s="104">
        <f t="shared" si="102"/>
        <v>2.3463725326735672</v>
      </c>
      <c r="P594" s="104">
        <f t="shared" si="118"/>
        <v>5.4592113762606598</v>
      </c>
      <c r="Q594" s="105">
        <f t="shared" si="119"/>
        <v>-2.3108230319080381</v>
      </c>
      <c r="R594" s="105">
        <f t="shared" si="119"/>
        <v>-5.5231563708205691</v>
      </c>
      <c r="S594" s="104">
        <f t="shared" si="105"/>
        <v>1.7700915616005151E-3</v>
      </c>
      <c r="T594" s="104">
        <f t="shared" si="106"/>
        <v>1.0111999393527435E-2</v>
      </c>
      <c r="U594" s="104">
        <f t="shared" si="120"/>
        <v>4.2307404549785889E-3</v>
      </c>
      <c r="V594" s="103">
        <f t="shared" si="108"/>
        <v>0</v>
      </c>
      <c r="W594" s="103">
        <f t="shared" si="109"/>
        <v>0</v>
      </c>
      <c r="X594" s="103">
        <f t="shared" si="110"/>
        <v>0</v>
      </c>
      <c r="Z594" s="102"/>
      <c r="AA594" s="102"/>
    </row>
    <row r="595" spans="1:27" x14ac:dyDescent="0.25">
      <c r="A595" s="530"/>
      <c r="B595" s="96">
        <v>58</v>
      </c>
      <c r="C595" s="363">
        <v>0</v>
      </c>
      <c r="D595" s="364">
        <f t="shared" si="111"/>
        <v>2760.7739999999999</v>
      </c>
      <c r="E595" s="109">
        <f t="shared" si="99"/>
        <v>0</v>
      </c>
      <c r="F595" s="375">
        <f t="shared" si="121"/>
        <v>0.10541897069116357</v>
      </c>
      <c r="G595" s="376">
        <f t="shared" si="122"/>
        <v>-9.0863541578872442E-2</v>
      </c>
      <c r="H595" s="377">
        <f t="shared" si="123"/>
        <v>3.1633290612287655E-4</v>
      </c>
      <c r="I595" s="106">
        <f t="shared" si="117"/>
        <v>0</v>
      </c>
      <c r="J595" s="104">
        <f t="shared" si="117"/>
        <v>0</v>
      </c>
      <c r="K595" s="104">
        <f t="shared" si="101"/>
        <v>0</v>
      </c>
      <c r="L595" s="209">
        <f t="shared" si="124"/>
        <v>0</v>
      </c>
      <c r="M595" s="353">
        <f t="shared" si="125"/>
        <v>0</v>
      </c>
      <c r="N595" s="104">
        <f t="shared" si="126"/>
        <v>0</v>
      </c>
      <c r="O595" s="104">
        <f t="shared" si="102"/>
        <v>2.3463725326735672</v>
      </c>
      <c r="P595" s="104">
        <f t="shared" si="118"/>
        <v>5.4592113762606598</v>
      </c>
      <c r="Q595" s="105">
        <f t="shared" si="119"/>
        <v>-2.2409535619824035</v>
      </c>
      <c r="R595" s="105">
        <f t="shared" si="119"/>
        <v>-5.5500749178395319</v>
      </c>
      <c r="S595" s="104">
        <f t="shared" si="105"/>
        <v>1.5885836381855916E-3</v>
      </c>
      <c r="T595" s="104">
        <f t="shared" si="106"/>
        <v>9.7441074012800666E-3</v>
      </c>
      <c r="U595" s="104">
        <f t="shared" si="120"/>
        <v>3.9343779160620346E-3</v>
      </c>
      <c r="V595" s="103">
        <f t="shared" si="108"/>
        <v>0</v>
      </c>
      <c r="W595" s="103">
        <f t="shared" si="109"/>
        <v>0</v>
      </c>
      <c r="X595" s="103">
        <f t="shared" si="110"/>
        <v>0</v>
      </c>
      <c r="Z595" s="102"/>
      <c r="AA595" s="102"/>
    </row>
    <row r="596" spans="1:27" x14ac:dyDescent="0.25">
      <c r="A596" s="530"/>
      <c r="B596" s="96">
        <v>59</v>
      </c>
      <c r="C596" s="363">
        <v>0</v>
      </c>
      <c r="D596" s="364">
        <f t="shared" si="111"/>
        <v>2760.7739999999999</v>
      </c>
      <c r="E596" s="109">
        <f t="shared" si="99"/>
        <v>0</v>
      </c>
      <c r="F596" s="375">
        <f t="shared" si="121"/>
        <v>0.21703905730533674</v>
      </c>
      <c r="G596" s="376">
        <f t="shared" si="122"/>
        <v>-0.11425996329640775</v>
      </c>
      <c r="H596" s="377">
        <f t="shared" si="123"/>
        <v>4.2177327532995248E-4</v>
      </c>
      <c r="I596" s="106">
        <f t="shared" si="117"/>
        <v>0</v>
      </c>
      <c r="J596" s="104">
        <f t="shared" si="117"/>
        <v>0</v>
      </c>
      <c r="K596" s="104">
        <f t="shared" si="101"/>
        <v>0</v>
      </c>
      <c r="L596" s="209">
        <f t="shared" si="124"/>
        <v>0</v>
      </c>
      <c r="M596" s="353">
        <f t="shared" si="125"/>
        <v>0</v>
      </c>
      <c r="N596" s="104">
        <f t="shared" si="126"/>
        <v>0</v>
      </c>
      <c r="O596" s="104">
        <f t="shared" si="102"/>
        <v>2.3463725326735672</v>
      </c>
      <c r="P596" s="104">
        <f t="shared" si="118"/>
        <v>5.4592113762606598</v>
      </c>
      <c r="Q596" s="105">
        <f t="shared" si="119"/>
        <v>-2.1293334753682305</v>
      </c>
      <c r="R596" s="105">
        <f t="shared" si="119"/>
        <v>-5.5734713395570674</v>
      </c>
      <c r="S596" s="104">
        <f t="shared" si="105"/>
        <v>1.9123457793192378E-3</v>
      </c>
      <c r="T596" s="104">
        <f t="shared" si="106"/>
        <v>1.3101789049593958E-2</v>
      </c>
      <c r="U596" s="104">
        <f t="shared" si="120"/>
        <v>5.0055120607708069E-3</v>
      </c>
      <c r="V596" s="103">
        <f t="shared" si="108"/>
        <v>0</v>
      </c>
      <c r="W596" s="103">
        <f t="shared" si="109"/>
        <v>0</v>
      </c>
      <c r="X596" s="103">
        <f t="shared" si="110"/>
        <v>0</v>
      </c>
      <c r="Z596" s="102"/>
      <c r="AA596" s="102"/>
    </row>
    <row r="597" spans="1:27" x14ac:dyDescent="0.25">
      <c r="A597" s="530"/>
      <c r="B597" s="96">
        <v>60</v>
      </c>
      <c r="C597" s="363">
        <v>0</v>
      </c>
      <c r="D597" s="364">
        <f t="shared" si="111"/>
        <v>2760.7739999999999</v>
      </c>
      <c r="E597" s="109">
        <f t="shared" si="99"/>
        <v>0</v>
      </c>
      <c r="F597" s="375">
        <f t="shared" si="121"/>
        <v>0.37003555533683274</v>
      </c>
      <c r="G597" s="376">
        <f t="shared" si="122"/>
        <v>-0.13471713254685319</v>
      </c>
      <c r="H597" s="377">
        <f t="shared" si="123"/>
        <v>5.34535540422289E-4</v>
      </c>
      <c r="I597" s="106">
        <f t="shared" si="117"/>
        <v>0</v>
      </c>
      <c r="J597" s="104">
        <f t="shared" si="117"/>
        <v>0</v>
      </c>
      <c r="K597" s="104">
        <f t="shared" si="101"/>
        <v>0</v>
      </c>
      <c r="L597" s="209">
        <f t="shared" si="124"/>
        <v>0</v>
      </c>
      <c r="M597" s="353">
        <f t="shared" si="125"/>
        <v>0</v>
      </c>
      <c r="N597" s="104">
        <f t="shared" si="126"/>
        <v>0</v>
      </c>
      <c r="O597" s="104">
        <f t="shared" si="102"/>
        <v>2.3463725326735672</v>
      </c>
      <c r="P597" s="104">
        <f t="shared" si="118"/>
        <v>5.4592113762606598</v>
      </c>
      <c r="Q597" s="105">
        <f t="shared" si="119"/>
        <v>-1.9763369773367345</v>
      </c>
      <c r="R597" s="105">
        <f t="shared" si="119"/>
        <v>-5.5939285088075126</v>
      </c>
      <c r="S597" s="104">
        <f t="shared" si="105"/>
        <v>2.0878465623641929E-3</v>
      </c>
      <c r="T597" s="104">
        <f t="shared" si="106"/>
        <v>1.6726705460581096E-2</v>
      </c>
      <c r="U597" s="104">
        <f t="shared" si="120"/>
        <v>5.9095511247092714E-3</v>
      </c>
      <c r="V597" s="103">
        <f t="shared" si="108"/>
        <v>0</v>
      </c>
      <c r="W597" s="103">
        <f t="shared" si="109"/>
        <v>0</v>
      </c>
      <c r="X597" s="103">
        <f t="shared" si="110"/>
        <v>0</v>
      </c>
      <c r="Z597" s="102"/>
      <c r="AA597" s="102"/>
    </row>
    <row r="598" spans="1:27" x14ac:dyDescent="0.25">
      <c r="A598" s="530"/>
      <c r="B598" s="96">
        <v>61</v>
      </c>
      <c r="C598" s="363">
        <v>0</v>
      </c>
      <c r="D598" s="364">
        <f t="shared" si="111"/>
        <v>2760.7739999999999</v>
      </c>
      <c r="E598" s="109">
        <f t="shared" si="99"/>
        <v>0</v>
      </c>
      <c r="F598" s="375">
        <f t="shared" si="121"/>
        <v>0.56349968055555533</v>
      </c>
      <c r="G598" s="376">
        <f t="shared" si="122"/>
        <v>-0.15183138249815695</v>
      </c>
      <c r="H598" s="377">
        <f t="shared" si="123"/>
        <v>6.4871118869202083E-4</v>
      </c>
      <c r="I598" s="106">
        <f t="shared" si="117"/>
        <v>0</v>
      </c>
      <c r="J598" s="104">
        <f t="shared" si="117"/>
        <v>0</v>
      </c>
      <c r="K598" s="104">
        <f t="shared" si="101"/>
        <v>0</v>
      </c>
      <c r="L598" s="209">
        <f t="shared" si="124"/>
        <v>0</v>
      </c>
      <c r="M598" s="353">
        <f t="shared" si="125"/>
        <v>0</v>
      </c>
      <c r="N598" s="104">
        <f t="shared" si="126"/>
        <v>0</v>
      </c>
      <c r="O598" s="104">
        <f t="shared" si="102"/>
        <v>2.3463725326735672</v>
      </c>
      <c r="P598" s="104">
        <f t="shared" si="118"/>
        <v>5.4592113762606598</v>
      </c>
      <c r="Q598" s="105">
        <f t="shared" si="119"/>
        <v>-1.7828728521180119</v>
      </c>
      <c r="R598" s="105">
        <f t="shared" si="119"/>
        <v>-5.611042758758817</v>
      </c>
      <c r="S598" s="104">
        <f t="shared" si="105"/>
        <v>2.0620164829186056E-3</v>
      </c>
      <c r="T598" s="104">
        <f t="shared" si="106"/>
        <v>2.0423893867861285E-2</v>
      </c>
      <c r="U598" s="104">
        <f t="shared" si="120"/>
        <v>6.4895612949497751E-3</v>
      </c>
      <c r="V598" s="103">
        <f t="shared" si="108"/>
        <v>0</v>
      </c>
      <c r="W598" s="103">
        <f t="shared" si="109"/>
        <v>0</v>
      </c>
      <c r="X598" s="103">
        <f t="shared" si="110"/>
        <v>0</v>
      </c>
      <c r="Z598" s="102"/>
      <c r="AA598" s="102"/>
    </row>
    <row r="599" spans="1:27" x14ac:dyDescent="0.25">
      <c r="A599" s="530"/>
      <c r="B599" s="96">
        <v>62</v>
      </c>
      <c r="C599" s="363">
        <v>0</v>
      </c>
      <c r="D599" s="364">
        <f t="shared" si="111"/>
        <v>2760.7739999999999</v>
      </c>
      <c r="E599" s="109">
        <f t="shared" si="99"/>
        <v>0</v>
      </c>
      <c r="F599" s="375">
        <f t="shared" si="121"/>
        <v>0.79684339610673627</v>
      </c>
      <c r="G599" s="376">
        <f t="shared" si="122"/>
        <v>-0.1653610216166764</v>
      </c>
      <c r="H599" s="377">
        <f t="shared" si="123"/>
        <v>7.6385557195822928E-4</v>
      </c>
      <c r="I599" s="106">
        <f t="shared" si="117"/>
        <v>0</v>
      </c>
      <c r="J599" s="104">
        <f t="shared" si="117"/>
        <v>0</v>
      </c>
      <c r="K599" s="104">
        <f t="shared" si="101"/>
        <v>0</v>
      </c>
      <c r="L599" s="209">
        <f t="shared" si="124"/>
        <v>0</v>
      </c>
      <c r="M599" s="353">
        <f t="shared" si="125"/>
        <v>0</v>
      </c>
      <c r="N599" s="104">
        <f t="shared" si="126"/>
        <v>0</v>
      </c>
      <c r="O599" s="104">
        <f t="shared" si="102"/>
        <v>2.3463725326735672</v>
      </c>
      <c r="P599" s="104">
        <f t="shared" si="118"/>
        <v>5.4592113762606598</v>
      </c>
      <c r="Q599" s="105">
        <f t="shared" si="119"/>
        <v>-1.5495291365668309</v>
      </c>
      <c r="R599" s="105">
        <f t="shared" si="119"/>
        <v>-5.6245723978773361</v>
      </c>
      <c r="S599" s="104">
        <f t="shared" si="105"/>
        <v>1.8340481988489987E-3</v>
      </c>
      <c r="T599" s="104">
        <f t="shared" si="106"/>
        <v>2.4165193300687181E-2</v>
      </c>
      <c r="U599" s="104">
        <f t="shared" si="120"/>
        <v>6.6573364980270604E-3</v>
      </c>
      <c r="V599" s="103">
        <f t="shared" si="108"/>
        <v>0</v>
      </c>
      <c r="W599" s="103">
        <f t="shared" si="109"/>
        <v>0</v>
      </c>
      <c r="X599" s="103">
        <f t="shared" si="110"/>
        <v>0</v>
      </c>
      <c r="Z599" s="102"/>
      <c r="AA599" s="102"/>
    </row>
    <row r="600" spans="1:27" x14ac:dyDescent="0.25">
      <c r="A600" s="530"/>
      <c r="B600" s="96">
        <v>63</v>
      </c>
      <c r="C600" s="363">
        <v>0</v>
      </c>
      <c r="D600" s="364">
        <f t="shared" si="111"/>
        <v>2760.7739999999999</v>
      </c>
      <c r="E600" s="109">
        <f t="shared" si="99"/>
        <v>0</v>
      </c>
      <c r="F600" s="375">
        <f t="shared" si="121"/>
        <v>1.0691579177602795</v>
      </c>
      <c r="G600" s="376">
        <f t="shared" si="122"/>
        <v>-0.17549428814071508</v>
      </c>
      <c r="H600" s="377">
        <f t="shared" si="123"/>
        <v>8.7646868641383141E-4</v>
      </c>
      <c r="I600" s="106">
        <f t="shared" si="117"/>
        <v>0</v>
      </c>
      <c r="J600" s="104">
        <f t="shared" si="117"/>
        <v>0</v>
      </c>
      <c r="K600" s="104">
        <f t="shared" si="101"/>
        <v>0</v>
      </c>
      <c r="L600" s="209">
        <f t="shared" si="124"/>
        <v>0</v>
      </c>
      <c r="M600" s="353">
        <f t="shared" si="125"/>
        <v>0</v>
      </c>
      <c r="N600" s="104">
        <f t="shared" si="126"/>
        <v>0</v>
      </c>
      <c r="O600" s="104">
        <f t="shared" si="102"/>
        <v>2.3463725326735672</v>
      </c>
      <c r="P600" s="104">
        <f t="shared" si="118"/>
        <v>5.4592113762606598</v>
      </c>
      <c r="Q600" s="105">
        <f t="shared" si="119"/>
        <v>-1.2772146149132877</v>
      </c>
      <c r="R600" s="105">
        <f t="shared" si="119"/>
        <v>-5.6347056644013751</v>
      </c>
      <c r="S600" s="104">
        <f t="shared" si="105"/>
        <v>1.4297633606001003E-3</v>
      </c>
      <c r="T600" s="104">
        <f t="shared" si="106"/>
        <v>2.7827800092291344E-2</v>
      </c>
      <c r="U600" s="104">
        <f t="shared" si="120"/>
        <v>6.3077071094068916E-3</v>
      </c>
      <c r="V600" s="103">
        <f t="shared" si="108"/>
        <v>0</v>
      </c>
      <c r="W600" s="103">
        <f t="shared" si="109"/>
        <v>0</v>
      </c>
      <c r="X600" s="103">
        <f t="shared" si="110"/>
        <v>0</v>
      </c>
      <c r="Z600" s="102"/>
      <c r="AA600" s="102"/>
    </row>
    <row r="601" spans="1:27" x14ac:dyDescent="0.25">
      <c r="A601" s="530"/>
      <c r="B601" s="96">
        <v>64</v>
      </c>
      <c r="C601" s="363">
        <v>0</v>
      </c>
      <c r="D601" s="364">
        <f t="shared" si="111"/>
        <v>2760.7739999999999</v>
      </c>
      <c r="E601" s="109">
        <f t="shared" si="99"/>
        <v>0</v>
      </c>
      <c r="F601" s="375">
        <f t="shared" si="121"/>
        <v>1.3789464244313205</v>
      </c>
      <c r="G601" s="376">
        <f t="shared" si="122"/>
        <v>-0.18189660644159816</v>
      </c>
      <c r="H601" s="377">
        <f t="shared" si="123"/>
        <v>9.8512293630894222E-4</v>
      </c>
      <c r="I601" s="106">
        <f t="shared" si="117"/>
        <v>0</v>
      </c>
      <c r="J601" s="104">
        <f t="shared" si="117"/>
        <v>0</v>
      </c>
      <c r="K601" s="104">
        <f t="shared" si="101"/>
        <v>0</v>
      </c>
      <c r="L601" s="209">
        <f t="shared" si="124"/>
        <v>0</v>
      </c>
      <c r="M601" s="353">
        <f t="shared" si="125"/>
        <v>0</v>
      </c>
      <c r="N601" s="104">
        <f t="shared" si="126"/>
        <v>0</v>
      </c>
      <c r="O601" s="104">
        <f t="shared" si="102"/>
        <v>2.3463725326735672</v>
      </c>
      <c r="P601" s="104">
        <f t="shared" si="118"/>
        <v>5.4592113762606598</v>
      </c>
      <c r="Q601" s="105">
        <f t="shared" si="119"/>
        <v>-0.96742610824224662</v>
      </c>
      <c r="R601" s="105">
        <f t="shared" si="119"/>
        <v>-5.6411079827022581</v>
      </c>
      <c r="S601" s="104">
        <f t="shared" si="105"/>
        <v>9.2198963350861537E-4</v>
      </c>
      <c r="T601" s="104">
        <f t="shared" si="106"/>
        <v>3.1348679874846887E-2</v>
      </c>
      <c r="U601" s="104">
        <f t="shared" si="120"/>
        <v>5.376165721849447E-3</v>
      </c>
      <c r="V601" s="103">
        <f t="shared" si="108"/>
        <v>0</v>
      </c>
      <c r="W601" s="103">
        <f t="shared" si="109"/>
        <v>0</v>
      </c>
      <c r="X601" s="103">
        <f t="shared" si="110"/>
        <v>0</v>
      </c>
      <c r="Z601" s="102"/>
      <c r="AA601" s="102"/>
    </row>
    <row r="602" spans="1:27" x14ac:dyDescent="0.25">
      <c r="A602" s="530"/>
      <c r="B602" s="96">
        <v>65</v>
      </c>
      <c r="C602" s="363">
        <v>0</v>
      </c>
      <c r="D602" s="364">
        <f t="shared" si="111"/>
        <v>2760.7739999999999</v>
      </c>
      <c r="E602" s="109">
        <f t="shared" ref="E602:E632" si="127">C602/D602</f>
        <v>0</v>
      </c>
      <c r="F602" s="375">
        <f t="shared" si="121"/>
        <v>1.7243913476596668</v>
      </c>
      <c r="G602" s="376">
        <f t="shared" si="122"/>
        <v>-0.18448491943247583</v>
      </c>
      <c r="H602" s="377">
        <f t="shared" si="123"/>
        <v>1.0884066437868039E-3</v>
      </c>
      <c r="I602" s="106">
        <f t="shared" ref="I602:J632" si="128">H602*E602</f>
        <v>0</v>
      </c>
      <c r="J602" s="104">
        <f t="shared" si="128"/>
        <v>0</v>
      </c>
      <c r="K602" s="104">
        <f t="shared" ref="K602:K632" si="129">I602*G602</f>
        <v>0</v>
      </c>
      <c r="L602" s="209">
        <f t="shared" si="124"/>
        <v>0</v>
      </c>
      <c r="M602" s="353">
        <f t="shared" si="125"/>
        <v>0</v>
      </c>
      <c r="N602" s="104">
        <f t="shared" si="126"/>
        <v>0</v>
      </c>
      <c r="O602" s="104">
        <f t="shared" ref="O602:O632" si="130">$H$638</f>
        <v>2.3463725326735672</v>
      </c>
      <c r="P602" s="104">
        <f t="shared" si="118"/>
        <v>5.4592113762606598</v>
      </c>
      <c r="Q602" s="105">
        <f t="shared" ref="Q602:R632" si="131">F602-O602</f>
        <v>-0.62198118501390032</v>
      </c>
      <c r="R602" s="105">
        <f t="shared" si="131"/>
        <v>-5.643696295693136</v>
      </c>
      <c r="S602" s="104">
        <f t="shared" ref="S602:S632" si="132">H602*Q602^2</f>
        <v>4.2106164128540696E-4</v>
      </c>
      <c r="T602" s="104">
        <f t="shared" ref="T602:T632" si="133">H602*R602^2</f>
        <v>3.4667175107736398E-2</v>
      </c>
      <c r="U602" s="104">
        <f t="shared" si="120"/>
        <v>3.8206043565896866E-3</v>
      </c>
      <c r="V602" s="103">
        <f t="shared" ref="V602:V632" si="134">E602*(L602+T602)</f>
        <v>0</v>
      </c>
      <c r="W602" s="103">
        <f t="shared" ref="W602:W632" si="135">E602*(M602+S602)</f>
        <v>0</v>
      </c>
      <c r="X602" s="103">
        <f t="shared" ref="X602:X632" si="136">E602*(N602+U602)</f>
        <v>0</v>
      </c>
      <c r="Z602" s="102"/>
      <c r="AA602" s="102"/>
    </row>
    <row r="603" spans="1:27" x14ac:dyDescent="0.25">
      <c r="A603" s="530"/>
      <c r="B603" s="96">
        <v>66</v>
      </c>
      <c r="C603" s="363">
        <v>0</v>
      </c>
      <c r="D603" s="364">
        <f t="shared" ref="D603:D632" si="137">$C$559</f>
        <v>2760.7739999999999</v>
      </c>
      <c r="E603" s="109">
        <f t="shared" si="127"/>
        <v>0</v>
      </c>
      <c r="F603" s="375">
        <f t="shared" si="121"/>
        <v>2.103354371609798</v>
      </c>
      <c r="G603" s="376">
        <f t="shared" si="122"/>
        <v>-0.18351252274510571</v>
      </c>
      <c r="H603" s="377">
        <f t="shared" si="123"/>
        <v>1.1854966561478872E-3</v>
      </c>
      <c r="I603" s="106">
        <f t="shared" si="128"/>
        <v>0</v>
      </c>
      <c r="J603" s="104">
        <f t="shared" si="128"/>
        <v>0</v>
      </c>
      <c r="K603" s="104">
        <f t="shared" si="129"/>
        <v>0</v>
      </c>
      <c r="L603" s="209">
        <f t="shared" si="124"/>
        <v>0</v>
      </c>
      <c r="M603" s="353">
        <f t="shared" si="125"/>
        <v>0</v>
      </c>
      <c r="N603" s="104">
        <f t="shared" si="126"/>
        <v>0</v>
      </c>
      <c r="O603" s="104">
        <f t="shared" si="130"/>
        <v>2.3463725326735672</v>
      </c>
      <c r="P603" s="104">
        <f t="shared" si="118"/>
        <v>5.4592113762606598</v>
      </c>
      <c r="Q603" s="105">
        <f t="shared" si="131"/>
        <v>-0.24301816106376917</v>
      </c>
      <c r="R603" s="105">
        <f t="shared" si="131"/>
        <v>-5.6427238990057651</v>
      </c>
      <c r="S603" s="104">
        <f t="shared" si="132"/>
        <v>7.0012855961742152E-5</v>
      </c>
      <c r="T603" s="104">
        <f t="shared" si="133"/>
        <v>3.7746608302622255E-2</v>
      </c>
      <c r="U603" s="104">
        <f t="shared" si="120"/>
        <v>1.6256530534329249E-3</v>
      </c>
      <c r="V603" s="103">
        <f t="shared" si="134"/>
        <v>0</v>
      </c>
      <c r="W603" s="103">
        <f t="shared" si="135"/>
        <v>0</v>
      </c>
      <c r="X603" s="103">
        <f t="shared" si="136"/>
        <v>0</v>
      </c>
      <c r="Z603" s="102"/>
      <c r="AA603" s="102"/>
    </row>
    <row r="604" spans="1:27" x14ac:dyDescent="0.25">
      <c r="A604" s="530"/>
      <c r="B604" s="96">
        <v>67</v>
      </c>
      <c r="C604" s="363">
        <v>0</v>
      </c>
      <c r="D604" s="364">
        <f t="shared" si="137"/>
        <v>2760.7739999999999</v>
      </c>
      <c r="E604" s="109">
        <f t="shared" si="127"/>
        <v>0</v>
      </c>
      <c r="F604" s="375">
        <f t="shared" si="121"/>
        <v>2.5134298909667532</v>
      </c>
      <c r="G604" s="376">
        <f t="shared" si="122"/>
        <v>-0.17502311249513594</v>
      </c>
      <c r="H604" s="377">
        <f t="shared" si="123"/>
        <v>1.2759878945864129E-3</v>
      </c>
      <c r="I604" s="106">
        <f t="shared" si="128"/>
        <v>0</v>
      </c>
      <c r="J604" s="104">
        <f t="shared" si="128"/>
        <v>0</v>
      </c>
      <c r="K604" s="104">
        <f t="shared" si="129"/>
        <v>0</v>
      </c>
      <c r="L604" s="209">
        <f t="shared" si="124"/>
        <v>0</v>
      </c>
      <c r="M604" s="353">
        <f t="shared" si="125"/>
        <v>0</v>
      </c>
      <c r="N604" s="104">
        <f t="shared" si="126"/>
        <v>0</v>
      </c>
      <c r="O604" s="104">
        <f t="shared" si="130"/>
        <v>2.3463725326735672</v>
      </c>
      <c r="P604" s="104">
        <f t="shared" si="118"/>
        <v>5.4592113762606598</v>
      </c>
      <c r="Q604" s="105">
        <f t="shared" si="131"/>
        <v>0.16705735829318602</v>
      </c>
      <c r="R604" s="105">
        <f t="shared" si="131"/>
        <v>-5.634234488755796</v>
      </c>
      <c r="S604" s="104">
        <f t="shared" si="132"/>
        <v>3.561047554499888E-5</v>
      </c>
      <c r="T604" s="104">
        <f t="shared" si="133"/>
        <v>4.0505723116496757E-2</v>
      </c>
      <c r="U604" s="104">
        <f t="shared" si="120"/>
        <v>-1.2010112665884962E-3</v>
      </c>
      <c r="V604" s="103">
        <f t="shared" si="134"/>
        <v>0</v>
      </c>
      <c r="W604" s="103">
        <f t="shared" si="135"/>
        <v>0</v>
      </c>
      <c r="X604" s="103">
        <f t="shared" si="136"/>
        <v>0</v>
      </c>
      <c r="Z604" s="102"/>
      <c r="AA604" s="102"/>
    </row>
    <row r="605" spans="1:27" x14ac:dyDescent="0.25">
      <c r="A605" s="530"/>
      <c r="B605" s="96">
        <v>68</v>
      </c>
      <c r="C605" s="363">
        <v>0</v>
      </c>
      <c r="D605" s="364">
        <f t="shared" si="137"/>
        <v>2760.7739999999999</v>
      </c>
      <c r="E605" s="109">
        <f t="shared" si="127"/>
        <v>0</v>
      </c>
      <c r="F605" s="375">
        <f t="shared" si="121"/>
        <v>2.95173117935258</v>
      </c>
      <c r="G605" s="376">
        <f t="shared" si="122"/>
        <v>-0.16744084649536239</v>
      </c>
      <c r="H605" s="377">
        <f t="shared" si="123"/>
        <v>1.3556005049975889E-3</v>
      </c>
      <c r="I605" s="106">
        <f t="shared" si="128"/>
        <v>0</v>
      </c>
      <c r="J605" s="104">
        <f t="shared" si="128"/>
        <v>0</v>
      </c>
      <c r="K605" s="104">
        <f t="shared" si="129"/>
        <v>0</v>
      </c>
      <c r="L605" s="209">
        <f t="shared" si="124"/>
        <v>0</v>
      </c>
      <c r="M605" s="353">
        <f t="shared" si="125"/>
        <v>0</v>
      </c>
      <c r="N605" s="104">
        <f t="shared" si="126"/>
        <v>0</v>
      </c>
      <c r="O605" s="104">
        <f t="shared" si="130"/>
        <v>2.3463725326735672</v>
      </c>
      <c r="P605" s="104">
        <f t="shared" si="118"/>
        <v>5.4592113762606598</v>
      </c>
      <c r="Q605" s="105">
        <f t="shared" si="131"/>
        <v>0.60535864667901285</v>
      </c>
      <c r="R605" s="105">
        <f t="shared" si="131"/>
        <v>-5.6266522227560225</v>
      </c>
      <c r="S605" s="104">
        <f t="shared" si="132"/>
        <v>4.9677212896838006E-4</v>
      </c>
      <c r="T605" s="104">
        <f t="shared" si="133"/>
        <v>4.2917248161539231E-2</v>
      </c>
      <c r="U605" s="104">
        <f t="shared" si="120"/>
        <v>-4.6173685946296452E-3</v>
      </c>
      <c r="V605" s="103">
        <f t="shared" si="134"/>
        <v>0</v>
      </c>
      <c r="W605" s="103">
        <f t="shared" si="135"/>
        <v>0</v>
      </c>
      <c r="X605" s="103">
        <f t="shared" si="136"/>
        <v>0</v>
      </c>
      <c r="Z605" s="102"/>
      <c r="AA605" s="102"/>
    </row>
    <row r="606" spans="1:27" x14ac:dyDescent="0.25">
      <c r="A606" s="530"/>
      <c r="B606" s="96">
        <v>69</v>
      </c>
      <c r="C606" s="363">
        <v>0</v>
      </c>
      <c r="D606" s="364">
        <f t="shared" si="137"/>
        <v>2760.7739999999999</v>
      </c>
      <c r="E606" s="109">
        <f t="shared" si="127"/>
        <v>0</v>
      </c>
      <c r="F606" s="375">
        <f t="shared" si="121"/>
        <v>3.414836931430445</v>
      </c>
      <c r="G606" s="376">
        <f t="shared" si="122"/>
        <v>-0.15680091996707576</v>
      </c>
      <c r="H606" s="377">
        <f t="shared" si="123"/>
        <v>1.425228084365742E-3</v>
      </c>
      <c r="I606" s="106">
        <f t="shared" si="128"/>
        <v>0</v>
      </c>
      <c r="J606" s="104">
        <f t="shared" si="128"/>
        <v>0</v>
      </c>
      <c r="K606" s="104">
        <f t="shared" si="129"/>
        <v>0</v>
      </c>
      <c r="L606" s="209">
        <f t="shared" si="124"/>
        <v>0</v>
      </c>
      <c r="M606" s="353">
        <f t="shared" si="125"/>
        <v>0</v>
      </c>
      <c r="N606" s="104">
        <f t="shared" si="126"/>
        <v>0</v>
      </c>
      <c r="O606" s="104">
        <f t="shared" si="130"/>
        <v>2.3463725326735672</v>
      </c>
      <c r="P606" s="104">
        <f t="shared" si="118"/>
        <v>5.4592113762606598</v>
      </c>
      <c r="Q606" s="105">
        <f t="shared" si="131"/>
        <v>1.0684643987568778</v>
      </c>
      <c r="R606" s="105">
        <f t="shared" si="131"/>
        <v>-5.6160122962277352</v>
      </c>
      <c r="S606" s="104">
        <f t="shared" si="132"/>
        <v>1.6270634290609044E-3</v>
      </c>
      <c r="T606" s="104">
        <f t="shared" si="133"/>
        <v>4.4951115297036749E-2</v>
      </c>
      <c r="U606" s="104">
        <f t="shared" si="120"/>
        <v>-8.5520942344731385E-3</v>
      </c>
      <c r="V606" s="103">
        <f t="shared" si="134"/>
        <v>0</v>
      </c>
      <c r="W606" s="103">
        <f t="shared" si="135"/>
        <v>0</v>
      </c>
      <c r="X606" s="103">
        <f t="shared" si="136"/>
        <v>0</v>
      </c>
      <c r="Z606" s="102"/>
      <c r="AA606" s="102"/>
    </row>
    <row r="607" spans="1:27" x14ac:dyDescent="0.25">
      <c r="A607" s="530"/>
      <c r="B607" s="96">
        <v>70</v>
      </c>
      <c r="C607" s="363">
        <v>0</v>
      </c>
      <c r="D607" s="364">
        <f t="shared" si="137"/>
        <v>2760.7739999999999</v>
      </c>
      <c r="E607" s="109">
        <f t="shared" si="127"/>
        <v>0</v>
      </c>
      <c r="F607" s="375">
        <f t="shared" si="121"/>
        <v>3.8991120102799637</v>
      </c>
      <c r="G607" s="376">
        <f t="shared" si="122"/>
        <v>-0.14311253460649889</v>
      </c>
      <c r="H607" s="377">
        <f t="shared" si="123"/>
        <v>1.4841271267667061E-3</v>
      </c>
      <c r="I607" s="106">
        <f t="shared" si="128"/>
        <v>0</v>
      </c>
      <c r="J607" s="104">
        <f t="shared" si="128"/>
        <v>0</v>
      </c>
      <c r="K607" s="104">
        <f t="shared" si="129"/>
        <v>0</v>
      </c>
      <c r="L607" s="209">
        <f t="shared" si="124"/>
        <v>0</v>
      </c>
      <c r="M607" s="353">
        <f t="shared" si="125"/>
        <v>0</v>
      </c>
      <c r="N607" s="104">
        <f t="shared" si="126"/>
        <v>0</v>
      </c>
      <c r="O607" s="104">
        <f t="shared" si="130"/>
        <v>2.3463725326735672</v>
      </c>
      <c r="P607" s="104">
        <f t="shared" si="118"/>
        <v>5.4592113762606598</v>
      </c>
      <c r="Q607" s="105">
        <f t="shared" si="131"/>
        <v>1.5527394776063965</v>
      </c>
      <c r="R607" s="105">
        <f t="shared" si="131"/>
        <v>-5.6023239108671588</v>
      </c>
      <c r="S607" s="104">
        <f t="shared" si="132"/>
        <v>3.5782303324309486E-3</v>
      </c>
      <c r="T607" s="104">
        <f t="shared" si="133"/>
        <v>4.6580863277095194E-2</v>
      </c>
      <c r="U607" s="104">
        <f t="shared" si="120"/>
        <v>-1.29103469313927E-2</v>
      </c>
      <c r="V607" s="103">
        <f t="shared" si="134"/>
        <v>0</v>
      </c>
      <c r="W607" s="103">
        <f t="shared" si="135"/>
        <v>0</v>
      </c>
      <c r="X607" s="103">
        <f t="shared" si="136"/>
        <v>0</v>
      </c>
      <c r="Z607" s="102"/>
      <c r="AA607" s="102"/>
    </row>
    <row r="608" spans="1:27" x14ac:dyDescent="0.25">
      <c r="A608" s="530"/>
      <c r="B608" s="96">
        <v>71</v>
      </c>
      <c r="C608" s="363">
        <v>0</v>
      </c>
      <c r="D608" s="364">
        <f t="shared" si="137"/>
        <v>2760.7739999999999</v>
      </c>
      <c r="E608" s="109">
        <f t="shared" si="127"/>
        <v>0</v>
      </c>
      <c r="F608" s="375">
        <f t="shared" si="121"/>
        <v>4.4006005316054226</v>
      </c>
      <c r="G608" s="376">
        <f t="shared" si="122"/>
        <v>-0.12691095057615792</v>
      </c>
      <c r="H608" s="377">
        <f t="shared" si="123"/>
        <v>1.5301691675597877E-3</v>
      </c>
      <c r="I608" s="106">
        <f t="shared" si="128"/>
        <v>0</v>
      </c>
      <c r="J608" s="104">
        <f t="shared" si="128"/>
        <v>0</v>
      </c>
      <c r="K608" s="104">
        <f t="shared" si="129"/>
        <v>0</v>
      </c>
      <c r="L608" s="209">
        <f t="shared" si="124"/>
        <v>0</v>
      </c>
      <c r="M608" s="353">
        <f t="shared" si="125"/>
        <v>0</v>
      </c>
      <c r="N608" s="104">
        <f t="shared" si="126"/>
        <v>0</v>
      </c>
      <c r="O608" s="104">
        <f t="shared" si="130"/>
        <v>2.3463725326735672</v>
      </c>
      <c r="P608" s="104">
        <f t="shared" si="118"/>
        <v>5.4592113762606598</v>
      </c>
      <c r="Q608" s="105">
        <f t="shared" si="131"/>
        <v>2.0542279989318555</v>
      </c>
      <c r="R608" s="105">
        <f t="shared" si="131"/>
        <v>-5.5861223268368176</v>
      </c>
      <c r="S608" s="104">
        <f t="shared" si="132"/>
        <v>6.4570884497203475E-3</v>
      </c>
      <c r="T608" s="104">
        <f t="shared" si="133"/>
        <v>4.7748565688640041E-2</v>
      </c>
      <c r="U608" s="104">
        <f t="shared" si="120"/>
        <v>-1.7558949626866376E-2</v>
      </c>
      <c r="V608" s="103">
        <f t="shared" si="134"/>
        <v>0</v>
      </c>
      <c r="W608" s="103">
        <f t="shared" si="135"/>
        <v>0</v>
      </c>
      <c r="X608" s="103">
        <f t="shared" si="136"/>
        <v>0</v>
      </c>
      <c r="Z608" s="102"/>
      <c r="AA608" s="102"/>
    </row>
    <row r="609" spans="1:27" x14ac:dyDescent="0.25">
      <c r="A609" s="530"/>
      <c r="B609" s="96">
        <v>72</v>
      </c>
      <c r="C609" s="363">
        <v>0</v>
      </c>
      <c r="D609" s="364">
        <f t="shared" si="137"/>
        <v>2760.7739999999999</v>
      </c>
      <c r="E609" s="109">
        <f t="shared" si="127"/>
        <v>0</v>
      </c>
      <c r="F609" s="375">
        <f t="shared" si="121"/>
        <v>4.9150258637357815</v>
      </c>
      <c r="G609" s="376">
        <f t="shared" si="122"/>
        <v>-0.10880709090637658</v>
      </c>
      <c r="H609" s="377">
        <f t="shared" si="123"/>
        <v>1.5632521653929053E-3</v>
      </c>
      <c r="I609" s="106">
        <f t="shared" si="128"/>
        <v>0</v>
      </c>
      <c r="J609" s="104">
        <f t="shared" si="128"/>
        <v>0</v>
      </c>
      <c r="K609" s="104">
        <f t="shared" si="129"/>
        <v>0</v>
      </c>
      <c r="L609" s="209">
        <f t="shared" si="124"/>
        <v>0</v>
      </c>
      <c r="M609" s="353">
        <f t="shared" si="125"/>
        <v>0</v>
      </c>
      <c r="N609" s="104">
        <f t="shared" si="126"/>
        <v>0</v>
      </c>
      <c r="O609" s="104">
        <f t="shared" si="130"/>
        <v>2.3463725326735672</v>
      </c>
      <c r="P609" s="104">
        <f t="shared" si="118"/>
        <v>5.4592113762606598</v>
      </c>
      <c r="Q609" s="105">
        <f t="shared" si="131"/>
        <v>2.5686533310622144</v>
      </c>
      <c r="R609" s="105">
        <f t="shared" si="131"/>
        <v>-5.5680184671670361</v>
      </c>
      <c r="S609" s="104">
        <f t="shared" si="132"/>
        <v>1.0314306420884402E-2</v>
      </c>
      <c r="T609" s="104">
        <f t="shared" si="133"/>
        <v>4.84652405847847E-2</v>
      </c>
      <c r="U609" s="104">
        <f t="shared" si="120"/>
        <v>-2.2358115800606995E-2</v>
      </c>
      <c r="V609" s="103">
        <f t="shared" si="134"/>
        <v>0</v>
      </c>
      <c r="W609" s="103">
        <f t="shared" si="135"/>
        <v>0</v>
      </c>
      <c r="X609" s="103">
        <f t="shared" si="136"/>
        <v>0</v>
      </c>
      <c r="Z609" s="102"/>
      <c r="AA609" s="102"/>
    </row>
    <row r="610" spans="1:27" x14ac:dyDescent="0.25">
      <c r="A610" s="530"/>
      <c r="B610" s="96">
        <v>73</v>
      </c>
      <c r="C610" s="363">
        <v>0</v>
      </c>
      <c r="D610" s="364">
        <f t="shared" si="137"/>
        <v>2760.7739999999999</v>
      </c>
      <c r="E610" s="109">
        <f t="shared" si="127"/>
        <v>0</v>
      </c>
      <c r="F610" s="375">
        <f t="shared" si="121"/>
        <v>5.4379510013123342</v>
      </c>
      <c r="G610" s="376">
        <f t="shared" si="122"/>
        <v>-8.9715940290567397E-2</v>
      </c>
      <c r="H610" s="377">
        <f t="shared" si="123"/>
        <v>1.5822288976133502E-3</v>
      </c>
      <c r="I610" s="106">
        <f t="shared" si="128"/>
        <v>0</v>
      </c>
      <c r="J610" s="104">
        <f t="shared" si="128"/>
        <v>0</v>
      </c>
      <c r="K610" s="104">
        <f t="shared" si="129"/>
        <v>0</v>
      </c>
      <c r="L610" s="209">
        <f t="shared" si="124"/>
        <v>0</v>
      </c>
      <c r="M610" s="353">
        <f t="shared" si="125"/>
        <v>0</v>
      </c>
      <c r="N610" s="104">
        <f t="shared" si="126"/>
        <v>0</v>
      </c>
      <c r="O610" s="104">
        <f t="shared" si="130"/>
        <v>2.3463725326735672</v>
      </c>
      <c r="P610" s="104">
        <f t="shared" si="118"/>
        <v>5.4592113762606598</v>
      </c>
      <c r="Q610" s="105">
        <f t="shared" si="131"/>
        <v>3.0915784686387671</v>
      </c>
      <c r="R610" s="105">
        <f t="shared" si="131"/>
        <v>-5.548927316551227</v>
      </c>
      <c r="S610" s="104">
        <f t="shared" si="132"/>
        <v>1.5122718221455757E-2</v>
      </c>
      <c r="T610" s="104">
        <f t="shared" si="133"/>
        <v>4.8717768177994447E-2</v>
      </c>
      <c r="U610" s="104">
        <f t="shared" si="120"/>
        <v>-2.7143048475328151E-2</v>
      </c>
      <c r="V610" s="103">
        <f t="shared" si="134"/>
        <v>0</v>
      </c>
      <c r="W610" s="103">
        <f t="shared" si="135"/>
        <v>0</v>
      </c>
      <c r="X610" s="103">
        <f t="shared" si="136"/>
        <v>0</v>
      </c>
      <c r="Z610" s="102"/>
      <c r="AA610" s="102"/>
    </row>
    <row r="611" spans="1:27" x14ac:dyDescent="0.25">
      <c r="A611" s="530"/>
      <c r="B611" s="96">
        <v>74</v>
      </c>
      <c r="C611" s="363">
        <v>0</v>
      </c>
      <c r="D611" s="364">
        <f t="shared" si="137"/>
        <v>2760.7739999999999</v>
      </c>
      <c r="E611" s="109">
        <f t="shared" si="127"/>
        <v>0</v>
      </c>
      <c r="F611" s="375">
        <f t="shared" si="121"/>
        <v>5.9646181916010477</v>
      </c>
      <c r="G611" s="376">
        <f t="shared" si="122"/>
        <v>-7.1841069611266781E-2</v>
      </c>
      <c r="H611" s="377">
        <f t="shared" si="123"/>
        <v>1.585557453997299E-3</v>
      </c>
      <c r="I611" s="106">
        <f t="shared" si="128"/>
        <v>0</v>
      </c>
      <c r="J611" s="104">
        <f t="shared" si="128"/>
        <v>0</v>
      </c>
      <c r="K611" s="104">
        <f t="shared" si="129"/>
        <v>0</v>
      </c>
      <c r="L611" s="209">
        <f t="shared" si="124"/>
        <v>0</v>
      </c>
      <c r="M611" s="353">
        <f t="shared" si="125"/>
        <v>0</v>
      </c>
      <c r="N611" s="104">
        <f t="shared" si="126"/>
        <v>0</v>
      </c>
      <c r="O611" s="104">
        <f t="shared" si="130"/>
        <v>2.3463725326735672</v>
      </c>
      <c r="P611" s="104">
        <f t="shared" si="118"/>
        <v>5.4592113762606598</v>
      </c>
      <c r="Q611" s="105">
        <f t="shared" si="131"/>
        <v>3.6182456589274805</v>
      </c>
      <c r="R611" s="105">
        <f t="shared" si="131"/>
        <v>-5.5310524458719268</v>
      </c>
      <c r="S611" s="104">
        <f t="shared" si="132"/>
        <v>2.0757645134046196E-2</v>
      </c>
      <c r="T611" s="104">
        <f t="shared" si="133"/>
        <v>4.850623167134914E-2</v>
      </c>
      <c r="U611" s="104">
        <f t="shared" si="120"/>
        <v>-3.1731295968234548E-2</v>
      </c>
      <c r="V611" s="103">
        <f t="shared" si="134"/>
        <v>0</v>
      </c>
      <c r="W611" s="103">
        <f t="shared" si="135"/>
        <v>0</v>
      </c>
      <c r="X611" s="103">
        <f t="shared" si="136"/>
        <v>0</v>
      </c>
      <c r="Z611" s="102"/>
      <c r="AA611" s="102"/>
    </row>
    <row r="612" spans="1:27" x14ac:dyDescent="0.25">
      <c r="A612" s="530"/>
      <c r="B612" s="96">
        <v>75</v>
      </c>
      <c r="C612" s="363">
        <v>0</v>
      </c>
      <c r="D612" s="364">
        <f t="shared" si="137"/>
        <v>2760.7739999999999</v>
      </c>
      <c r="E612" s="109">
        <f t="shared" si="127"/>
        <v>0</v>
      </c>
      <c r="F612" s="375">
        <f t="shared" si="121"/>
        <v>6.4902162239720003</v>
      </c>
      <c r="G612" s="376">
        <f t="shared" si="122"/>
        <v>-5.3771921860285642E-2</v>
      </c>
      <c r="H612" s="377">
        <f t="shared" si="123"/>
        <v>1.5753969871497144E-3</v>
      </c>
      <c r="I612" s="106">
        <f t="shared" si="128"/>
        <v>0</v>
      </c>
      <c r="J612" s="104">
        <f t="shared" si="128"/>
        <v>0</v>
      </c>
      <c r="K612" s="104">
        <f t="shared" si="129"/>
        <v>0</v>
      </c>
      <c r="L612" s="209">
        <f t="shared" si="124"/>
        <v>0</v>
      </c>
      <c r="M612" s="353">
        <f t="shared" si="125"/>
        <v>0</v>
      </c>
      <c r="N612" s="104">
        <f t="shared" si="126"/>
        <v>0</v>
      </c>
      <c r="O612" s="104">
        <f t="shared" si="130"/>
        <v>2.3463725326735672</v>
      </c>
      <c r="P612" s="104">
        <f t="shared" si="118"/>
        <v>5.4592113762606598</v>
      </c>
      <c r="Q612" s="105">
        <f t="shared" si="131"/>
        <v>4.1438436912984331</v>
      </c>
      <c r="R612" s="105">
        <f t="shared" si="131"/>
        <v>-5.512983298120945</v>
      </c>
      <c r="S612" s="104">
        <f t="shared" si="132"/>
        <v>2.7051835688449908E-2</v>
      </c>
      <c r="T612" s="104">
        <f t="shared" si="133"/>
        <v>4.7881016755867846E-2</v>
      </c>
      <c r="U612" s="104">
        <f t="shared" si="120"/>
        <v>-3.5989851317776426E-2</v>
      </c>
      <c r="V612" s="103">
        <f t="shared" si="134"/>
        <v>0</v>
      </c>
      <c r="W612" s="103">
        <f t="shared" si="135"/>
        <v>0</v>
      </c>
      <c r="X612" s="103">
        <f t="shared" si="136"/>
        <v>0</v>
      </c>
      <c r="Z612" s="102"/>
      <c r="AA612" s="102"/>
    </row>
    <row r="613" spans="1:27" x14ac:dyDescent="0.25">
      <c r="A613" s="530"/>
      <c r="B613" s="96">
        <v>76</v>
      </c>
      <c r="C613" s="363">
        <v>0</v>
      </c>
      <c r="D613" s="364">
        <f t="shared" si="137"/>
        <v>2760.7739999999999</v>
      </c>
      <c r="E613" s="109">
        <f t="shared" si="127"/>
        <v>0</v>
      </c>
      <c r="F613" s="375">
        <f t="shared" si="121"/>
        <v>7.009773514107609</v>
      </c>
      <c r="G613" s="376">
        <f t="shared" si="122"/>
        <v>-3.6878175915455148E-2</v>
      </c>
      <c r="H613" s="377">
        <f t="shared" si="123"/>
        <v>1.5490016027513592E-3</v>
      </c>
      <c r="I613" s="106">
        <f t="shared" si="128"/>
        <v>0</v>
      </c>
      <c r="J613" s="104">
        <f t="shared" si="128"/>
        <v>0</v>
      </c>
      <c r="K613" s="104">
        <f t="shared" si="129"/>
        <v>0</v>
      </c>
      <c r="L613" s="209">
        <f t="shared" si="124"/>
        <v>0</v>
      </c>
      <c r="M613" s="353">
        <f t="shared" si="125"/>
        <v>0</v>
      </c>
      <c r="N613" s="104">
        <f t="shared" si="126"/>
        <v>0</v>
      </c>
      <c r="O613" s="104">
        <f t="shared" si="130"/>
        <v>2.3463725326735672</v>
      </c>
      <c r="P613" s="104">
        <f t="shared" si="118"/>
        <v>5.4592113762606598</v>
      </c>
      <c r="Q613" s="105">
        <f t="shared" si="131"/>
        <v>4.6634009814340418</v>
      </c>
      <c r="R613" s="105">
        <f t="shared" si="131"/>
        <v>-5.4960895521761151</v>
      </c>
      <c r="S613" s="104">
        <f t="shared" si="132"/>
        <v>3.3686616052956933E-2</v>
      </c>
      <c r="T613" s="104">
        <f t="shared" si="133"/>
        <v>4.6790691980531499E-2</v>
      </c>
      <c r="U613" s="104">
        <f t="shared" si="120"/>
        <v>-3.9701638197942611E-2</v>
      </c>
      <c r="V613" s="103">
        <f t="shared" si="134"/>
        <v>0</v>
      </c>
      <c r="W613" s="103">
        <f t="shared" si="135"/>
        <v>0</v>
      </c>
      <c r="X613" s="103">
        <f t="shared" si="136"/>
        <v>0</v>
      </c>
      <c r="Z613" s="102"/>
      <c r="AA613" s="102"/>
    </row>
    <row r="614" spans="1:27" x14ac:dyDescent="0.25">
      <c r="A614" s="530"/>
      <c r="B614" s="96">
        <v>77</v>
      </c>
      <c r="C614" s="363">
        <v>0</v>
      </c>
      <c r="D614" s="364">
        <f t="shared" si="137"/>
        <v>2760.7739999999999</v>
      </c>
      <c r="E614" s="109">
        <f t="shared" si="127"/>
        <v>0</v>
      </c>
      <c r="F614" s="375">
        <f t="shared" si="121"/>
        <v>7.5180511882108458</v>
      </c>
      <c r="G614" s="376">
        <f t="shared" si="122"/>
        <v>-2.1771517857364656E-2</v>
      </c>
      <c r="H614" s="377">
        <f t="shared" si="123"/>
        <v>1.5067132456981066E-3</v>
      </c>
      <c r="I614" s="106">
        <f t="shared" si="128"/>
        <v>0</v>
      </c>
      <c r="J614" s="104">
        <f t="shared" si="128"/>
        <v>0</v>
      </c>
      <c r="K614" s="104">
        <f t="shared" si="129"/>
        <v>0</v>
      </c>
      <c r="L614" s="209">
        <f t="shared" si="124"/>
        <v>0</v>
      </c>
      <c r="M614" s="353">
        <f t="shared" si="125"/>
        <v>0</v>
      </c>
      <c r="N614" s="104">
        <f t="shared" si="126"/>
        <v>0</v>
      </c>
      <c r="O614" s="104">
        <f t="shared" si="130"/>
        <v>2.3463725326735672</v>
      </c>
      <c r="P614" s="104">
        <f t="shared" si="118"/>
        <v>5.4592113762606598</v>
      </c>
      <c r="Q614" s="105">
        <f t="shared" si="131"/>
        <v>5.1716786555372787</v>
      </c>
      <c r="R614" s="105">
        <f t="shared" si="131"/>
        <v>-5.4809828941180241</v>
      </c>
      <c r="S614" s="104">
        <f t="shared" si="132"/>
        <v>4.0298944389874927E-2</v>
      </c>
      <c r="T614" s="104">
        <f t="shared" si="133"/>
        <v>4.5263434007089959E-2</v>
      </c>
      <c r="U614" s="104">
        <f t="shared" si="120"/>
        <v>-4.2709116239352134E-2</v>
      </c>
      <c r="V614" s="103">
        <f t="shared" si="134"/>
        <v>0</v>
      </c>
      <c r="W614" s="103">
        <f t="shared" si="135"/>
        <v>0</v>
      </c>
      <c r="X614" s="103">
        <f t="shared" si="136"/>
        <v>0</v>
      </c>
      <c r="Z614" s="102"/>
      <c r="AA614" s="102"/>
    </row>
    <row r="615" spans="1:27" x14ac:dyDescent="0.25">
      <c r="A615" s="530"/>
      <c r="B615" s="96">
        <v>78</v>
      </c>
      <c r="C615" s="363">
        <v>0</v>
      </c>
      <c r="D615" s="364">
        <f t="shared" si="137"/>
        <v>2760.7739999999999</v>
      </c>
      <c r="E615" s="109">
        <f t="shared" si="127"/>
        <v>0</v>
      </c>
      <c r="F615" s="375">
        <f t="shared" si="121"/>
        <v>8.0094896251093584</v>
      </c>
      <c r="G615" s="376">
        <f t="shared" si="122"/>
        <v>-9.0094944666324998E-3</v>
      </c>
      <c r="H615" s="377">
        <f t="shared" si="123"/>
        <v>1.4466740730610696E-3</v>
      </c>
      <c r="I615" s="106">
        <f t="shared" si="128"/>
        <v>0</v>
      </c>
      <c r="J615" s="104">
        <f t="shared" si="128"/>
        <v>0</v>
      </c>
      <c r="K615" s="104">
        <f t="shared" si="129"/>
        <v>0</v>
      </c>
      <c r="L615" s="209">
        <f t="shared" si="124"/>
        <v>0</v>
      </c>
      <c r="M615" s="353">
        <f t="shared" si="125"/>
        <v>0</v>
      </c>
      <c r="N615" s="104">
        <f t="shared" si="126"/>
        <v>0</v>
      </c>
      <c r="O615" s="104">
        <f t="shared" si="130"/>
        <v>2.3463725326735672</v>
      </c>
      <c r="P615" s="104">
        <f t="shared" si="118"/>
        <v>5.4592113762606598</v>
      </c>
      <c r="Q615" s="105">
        <f t="shared" si="131"/>
        <v>5.6631170924357912</v>
      </c>
      <c r="R615" s="105">
        <f t="shared" si="131"/>
        <v>-5.4682208707272926</v>
      </c>
      <c r="S615" s="104">
        <f t="shared" si="132"/>
        <v>4.6396132589515623E-2</v>
      </c>
      <c r="T615" s="104">
        <f t="shared" si="133"/>
        <v>4.3257637258917341E-2</v>
      </c>
      <c r="U615" s="104">
        <f t="shared" si="120"/>
        <v>-4.4799409301618034E-2</v>
      </c>
      <c r="V615" s="103">
        <f t="shared" si="134"/>
        <v>0</v>
      </c>
      <c r="W615" s="103">
        <f t="shared" si="135"/>
        <v>0</v>
      </c>
      <c r="X615" s="103">
        <f t="shared" si="136"/>
        <v>0</v>
      </c>
      <c r="Z615" s="102"/>
      <c r="AA615" s="102"/>
    </row>
    <row r="616" spans="1:27" x14ac:dyDescent="0.25">
      <c r="A616" s="530"/>
      <c r="B616" s="96">
        <v>79</v>
      </c>
      <c r="C616" s="363">
        <v>0</v>
      </c>
      <c r="D616" s="364">
        <f t="shared" si="137"/>
        <v>2760.7739999999999</v>
      </c>
      <c r="E616" s="109">
        <f t="shared" si="127"/>
        <v>0</v>
      </c>
      <c r="F616" s="375">
        <f t="shared" si="121"/>
        <v>8.4780480825678008</v>
      </c>
      <c r="G616" s="376">
        <f t="shared" si="122"/>
        <v>1.1639896642083297E-3</v>
      </c>
      <c r="H616" s="377">
        <f t="shared" si="123"/>
        <v>1.3680670171919063E-3</v>
      </c>
      <c r="I616" s="106">
        <f t="shared" si="128"/>
        <v>0</v>
      </c>
      <c r="J616" s="104">
        <f t="shared" si="128"/>
        <v>0</v>
      </c>
      <c r="K616" s="104">
        <f t="shared" si="129"/>
        <v>0</v>
      </c>
      <c r="L616" s="209">
        <f t="shared" si="124"/>
        <v>0</v>
      </c>
      <c r="M616" s="353">
        <f t="shared" si="125"/>
        <v>0</v>
      </c>
      <c r="N616" s="104">
        <f t="shared" si="126"/>
        <v>0</v>
      </c>
      <c r="O616" s="104">
        <f t="shared" si="130"/>
        <v>2.3463725326735672</v>
      </c>
      <c r="P616" s="104">
        <f t="shared" si="118"/>
        <v>5.4592113762606598</v>
      </c>
      <c r="Q616" s="105">
        <f t="shared" si="131"/>
        <v>6.1316755498942337</v>
      </c>
      <c r="R616" s="105">
        <f t="shared" si="131"/>
        <v>-5.4580473865964514</v>
      </c>
      <c r="S616" s="104">
        <f t="shared" si="132"/>
        <v>5.1435824502455631E-2</v>
      </c>
      <c r="T616" s="104">
        <f t="shared" si="133"/>
        <v>4.0755101244283762E-2</v>
      </c>
      <c r="U616" s="104">
        <f t="shared" si="120"/>
        <v>-4.5785065634776488E-2</v>
      </c>
      <c r="V616" s="103">
        <f t="shared" si="134"/>
        <v>0</v>
      </c>
      <c r="W616" s="103">
        <f t="shared" si="135"/>
        <v>0</v>
      </c>
      <c r="X616" s="103">
        <f t="shared" si="136"/>
        <v>0</v>
      </c>
      <c r="Z616" s="102"/>
      <c r="AA616" s="102"/>
    </row>
    <row r="617" spans="1:27" x14ac:dyDescent="0.25">
      <c r="A617" s="530"/>
      <c r="B617" s="96">
        <v>80</v>
      </c>
      <c r="C617" s="363">
        <v>0</v>
      </c>
      <c r="D617" s="364">
        <f t="shared" si="137"/>
        <v>2760.7739999999999</v>
      </c>
      <c r="E617" s="109">
        <f t="shared" si="127"/>
        <v>0</v>
      </c>
      <c r="F617" s="375">
        <f t="shared" si="121"/>
        <v>8.9172046972878363</v>
      </c>
      <c r="G617" s="376">
        <f t="shared" si="122"/>
        <v>8.4740332730913834E-3</v>
      </c>
      <c r="H617" s="377">
        <f t="shared" si="123"/>
        <v>1.2689933204499031E-3</v>
      </c>
      <c r="I617" s="106">
        <f t="shared" si="128"/>
        <v>0</v>
      </c>
      <c r="J617" s="104">
        <f t="shared" si="128"/>
        <v>0</v>
      </c>
      <c r="K617" s="104">
        <f t="shared" si="129"/>
        <v>0</v>
      </c>
      <c r="L617" s="209">
        <f t="shared" si="124"/>
        <v>0</v>
      </c>
      <c r="M617" s="353">
        <f t="shared" si="125"/>
        <v>0</v>
      </c>
      <c r="N617" s="104">
        <f t="shared" si="126"/>
        <v>0</v>
      </c>
      <c r="O617" s="104">
        <f t="shared" si="130"/>
        <v>2.3463725326735672</v>
      </c>
      <c r="P617" s="104">
        <f t="shared" si="118"/>
        <v>5.4592113762606598</v>
      </c>
      <c r="Q617" s="105">
        <f t="shared" si="131"/>
        <v>6.5708321646142691</v>
      </c>
      <c r="R617" s="105">
        <f t="shared" si="131"/>
        <v>-5.4507373429875683</v>
      </c>
      <c r="S617" s="104">
        <f t="shared" si="132"/>
        <v>5.478984664563176E-2</v>
      </c>
      <c r="T617" s="104">
        <f t="shared" si="133"/>
        <v>3.7702473738837332E-2</v>
      </c>
      <c r="U617" s="104">
        <f t="shared" si="120"/>
        <v>-4.5450112808571287E-2</v>
      </c>
      <c r="V617" s="103">
        <f t="shared" si="134"/>
        <v>0</v>
      </c>
      <c r="W617" s="103">
        <f t="shared" si="135"/>
        <v>0</v>
      </c>
      <c r="X617" s="103">
        <f t="shared" si="136"/>
        <v>0</v>
      </c>
      <c r="Z617" s="102"/>
      <c r="AA617" s="102"/>
    </row>
    <row r="618" spans="1:27" x14ac:dyDescent="0.25">
      <c r="A618" s="530"/>
      <c r="B618" s="96">
        <v>81</v>
      </c>
      <c r="C618" s="363">
        <v>0</v>
      </c>
      <c r="D618" s="364">
        <f t="shared" si="137"/>
        <v>2760.7739999999999</v>
      </c>
      <c r="E618" s="109">
        <f t="shared" si="127"/>
        <v>0</v>
      </c>
      <c r="F618" s="375">
        <f t="shared" si="121"/>
        <v>9.3202772322834591</v>
      </c>
      <c r="G618" s="376">
        <f t="shared" si="122"/>
        <v>1.0706902761963868E-2</v>
      </c>
      <c r="H618" s="377">
        <f t="shared" si="123"/>
        <v>1.1502781088448587E-3</v>
      </c>
      <c r="I618" s="106">
        <f t="shared" si="128"/>
        <v>0</v>
      </c>
      <c r="J618" s="104">
        <f t="shared" si="128"/>
        <v>0</v>
      </c>
      <c r="K618" s="104">
        <f t="shared" si="129"/>
        <v>0</v>
      </c>
      <c r="L618" s="209">
        <f t="shared" si="124"/>
        <v>0</v>
      </c>
      <c r="M618" s="353">
        <f t="shared" si="125"/>
        <v>0</v>
      </c>
      <c r="N618" s="104">
        <f t="shared" si="126"/>
        <v>0</v>
      </c>
      <c r="O618" s="104">
        <f t="shared" si="130"/>
        <v>2.3463725326735672</v>
      </c>
      <c r="P618" s="104">
        <f t="shared" si="118"/>
        <v>5.4592113762606598</v>
      </c>
      <c r="Q618" s="105">
        <f t="shared" si="131"/>
        <v>6.9739046996098919</v>
      </c>
      <c r="R618" s="105">
        <f t="shared" si="131"/>
        <v>-5.448504473498696</v>
      </c>
      <c r="S618" s="104">
        <f t="shared" si="132"/>
        <v>5.5944174693233595E-2</v>
      </c>
      <c r="T618" s="104">
        <f t="shared" si="133"/>
        <v>3.414738714246332E-2</v>
      </c>
      <c r="U618" s="104">
        <f t="shared" si="120"/>
        <v>-4.3707520995996181E-2</v>
      </c>
      <c r="V618" s="103">
        <f t="shared" si="134"/>
        <v>0</v>
      </c>
      <c r="W618" s="103">
        <f t="shared" si="135"/>
        <v>0</v>
      </c>
      <c r="X618" s="103">
        <f t="shared" si="136"/>
        <v>0</v>
      </c>
      <c r="Z618" s="102"/>
      <c r="AA618" s="102"/>
    </row>
    <row r="619" spans="1:27" x14ac:dyDescent="0.25">
      <c r="A619" s="530"/>
      <c r="B619" s="96">
        <v>82</v>
      </c>
      <c r="C619" s="363">
        <v>0</v>
      </c>
      <c r="D619" s="364">
        <f t="shared" si="137"/>
        <v>2760.7739999999999</v>
      </c>
      <c r="E619" s="109">
        <f t="shared" si="127"/>
        <v>0</v>
      </c>
      <c r="F619" s="375">
        <f t="shared" si="121"/>
        <v>9.6809041979440025</v>
      </c>
      <c r="G619" s="376">
        <f t="shared" si="122"/>
        <v>1.2142008950193029E-2</v>
      </c>
      <c r="H619" s="377">
        <f t="shared" si="123"/>
        <v>1.0135982808864141E-3</v>
      </c>
      <c r="I619" s="106">
        <f t="shared" si="128"/>
        <v>0</v>
      </c>
      <c r="J619" s="104">
        <f t="shared" si="128"/>
        <v>0</v>
      </c>
      <c r="K619" s="104">
        <f t="shared" si="129"/>
        <v>0</v>
      </c>
      <c r="L619" s="209">
        <f t="shared" si="124"/>
        <v>0</v>
      </c>
      <c r="M619" s="353">
        <f t="shared" si="125"/>
        <v>0</v>
      </c>
      <c r="N619" s="104">
        <f t="shared" si="126"/>
        <v>0</v>
      </c>
      <c r="O619" s="104">
        <f t="shared" si="130"/>
        <v>2.3463725326735672</v>
      </c>
      <c r="P619" s="104">
        <f t="shared" si="118"/>
        <v>5.4592113762606598</v>
      </c>
      <c r="Q619" s="105">
        <f t="shared" si="131"/>
        <v>7.3345316652704353</v>
      </c>
      <c r="R619" s="105">
        <f t="shared" si="131"/>
        <v>-5.4470693673104664</v>
      </c>
      <c r="S619" s="104">
        <f t="shared" si="132"/>
        <v>5.452687909311392E-2</v>
      </c>
      <c r="T619" s="104">
        <f t="shared" si="133"/>
        <v>3.0074033365036352E-2</v>
      </c>
      <c r="U619" s="104">
        <f t="shared" si="120"/>
        <v>-4.0494977233449719E-2</v>
      </c>
      <c r="V619" s="103">
        <f t="shared" si="134"/>
        <v>0</v>
      </c>
      <c r="W619" s="103">
        <f t="shared" si="135"/>
        <v>0</v>
      </c>
      <c r="X619" s="103">
        <f t="shared" si="136"/>
        <v>0</v>
      </c>
      <c r="Z619" s="102"/>
      <c r="AA619" s="102"/>
    </row>
    <row r="620" spans="1:27" x14ac:dyDescent="0.25">
      <c r="A620" s="530"/>
      <c r="B620" s="96">
        <v>83</v>
      </c>
      <c r="C620" s="363">
        <v>0</v>
      </c>
      <c r="D620" s="364">
        <f t="shared" si="137"/>
        <v>2760.7739999999999</v>
      </c>
      <c r="E620" s="109">
        <f t="shared" si="127"/>
        <v>0</v>
      </c>
      <c r="F620" s="375">
        <f t="shared" si="121"/>
        <v>9.9936863467847736</v>
      </c>
      <c r="G620" s="376">
        <f t="shared" si="122"/>
        <v>1.1156480398606141E-2</v>
      </c>
      <c r="H620" s="377">
        <f t="shared" si="123"/>
        <v>8.6315144185742938E-4</v>
      </c>
      <c r="I620" s="106">
        <f t="shared" si="128"/>
        <v>0</v>
      </c>
      <c r="J620" s="104">
        <f t="shared" si="128"/>
        <v>0</v>
      </c>
      <c r="K620" s="104">
        <f t="shared" si="129"/>
        <v>0</v>
      </c>
      <c r="L620" s="209">
        <f t="shared" si="124"/>
        <v>0</v>
      </c>
      <c r="M620" s="353">
        <f t="shared" si="125"/>
        <v>0</v>
      </c>
      <c r="N620" s="104">
        <f t="shared" si="126"/>
        <v>0</v>
      </c>
      <c r="O620" s="104">
        <f t="shared" si="130"/>
        <v>2.3463725326735672</v>
      </c>
      <c r="P620" s="104">
        <f t="shared" si="118"/>
        <v>5.4592113762606598</v>
      </c>
      <c r="Q620" s="105">
        <f t="shared" si="131"/>
        <v>7.6473138141112065</v>
      </c>
      <c r="R620" s="105">
        <f t="shared" si="131"/>
        <v>-5.4480548958620538</v>
      </c>
      <c r="S620" s="104">
        <f t="shared" si="132"/>
        <v>5.0478312130340278E-2</v>
      </c>
      <c r="T620" s="104">
        <f t="shared" si="133"/>
        <v>2.5619458745534032E-2</v>
      </c>
      <c r="U620" s="104">
        <f t="shared" si="120"/>
        <v>-3.5961465976339764E-2</v>
      </c>
      <c r="V620" s="103">
        <f t="shared" si="134"/>
        <v>0</v>
      </c>
      <c r="W620" s="103">
        <f t="shared" si="135"/>
        <v>0</v>
      </c>
      <c r="X620" s="103">
        <f t="shared" si="136"/>
        <v>0</v>
      </c>
      <c r="Z620" s="102"/>
      <c r="AA620" s="102"/>
    </row>
    <row r="621" spans="1:27" x14ac:dyDescent="0.25">
      <c r="A621" s="530"/>
      <c r="B621" s="96">
        <v>84</v>
      </c>
      <c r="C621" s="363">
        <v>0</v>
      </c>
      <c r="D621" s="364">
        <f t="shared" si="137"/>
        <v>2760.7739999999999</v>
      </c>
      <c r="E621" s="109">
        <f t="shared" si="127"/>
        <v>0</v>
      </c>
      <c r="F621" s="375">
        <f t="shared" si="121"/>
        <v>10.254400505030617</v>
      </c>
      <c r="G621" s="376">
        <f t="shared" si="122"/>
        <v>8.4063082355722869E-3</v>
      </c>
      <c r="H621" s="377">
        <f t="shared" si="123"/>
        <v>7.013479041896709E-4</v>
      </c>
      <c r="I621" s="106">
        <f t="shared" si="128"/>
        <v>0</v>
      </c>
      <c r="J621" s="104">
        <f t="shared" si="128"/>
        <v>0</v>
      </c>
      <c r="K621" s="104">
        <f t="shared" si="129"/>
        <v>0</v>
      </c>
      <c r="L621" s="209">
        <f t="shared" si="124"/>
        <v>0</v>
      </c>
      <c r="M621" s="353">
        <f t="shared" si="125"/>
        <v>0</v>
      </c>
      <c r="N621" s="104">
        <f t="shared" si="126"/>
        <v>0</v>
      </c>
      <c r="O621" s="104">
        <f t="shared" si="130"/>
        <v>2.3463725326735672</v>
      </c>
      <c r="P621" s="104">
        <f t="shared" si="118"/>
        <v>5.4592113762606598</v>
      </c>
      <c r="Q621" s="105">
        <f t="shared" si="131"/>
        <v>7.9080279723570497</v>
      </c>
      <c r="R621" s="105">
        <f t="shared" si="131"/>
        <v>-5.4508050680250877</v>
      </c>
      <c r="S621" s="104">
        <f t="shared" si="132"/>
        <v>4.386012824626831E-2</v>
      </c>
      <c r="T621" s="104">
        <f t="shared" si="133"/>
        <v>2.0837941075977657E-2</v>
      </c>
      <c r="U621" s="104">
        <f t="shared" si="120"/>
        <v>-3.0231684835294283E-2</v>
      </c>
      <c r="V621" s="103">
        <f t="shared" si="134"/>
        <v>0</v>
      </c>
      <c r="W621" s="103">
        <f t="shared" si="135"/>
        <v>0</v>
      </c>
      <c r="X621" s="103">
        <f t="shared" si="136"/>
        <v>0</v>
      </c>
      <c r="Z621" s="102"/>
      <c r="AA621" s="102"/>
    </row>
    <row r="622" spans="1:27" x14ac:dyDescent="0.25">
      <c r="A622" s="530"/>
      <c r="B622" s="96">
        <v>85</v>
      </c>
      <c r="C622" s="363">
        <v>0</v>
      </c>
      <c r="D622" s="364">
        <f t="shared" si="137"/>
        <v>2760.7739999999999</v>
      </c>
      <c r="E622" s="109">
        <f t="shared" si="127"/>
        <v>0</v>
      </c>
      <c r="F622" s="375">
        <f t="shared" si="121"/>
        <v>10.458395835739278</v>
      </c>
      <c r="G622" s="376">
        <f t="shared" si="122"/>
        <v>4.7828317469189811E-3</v>
      </c>
      <c r="H622" s="377">
        <f t="shared" si="123"/>
        <v>5.2327006218328136E-4</v>
      </c>
      <c r="I622" s="106">
        <f t="shared" si="128"/>
        <v>0</v>
      </c>
      <c r="J622" s="104">
        <f t="shared" si="128"/>
        <v>0</v>
      </c>
      <c r="K622" s="104">
        <f t="shared" si="129"/>
        <v>0</v>
      </c>
      <c r="L622" s="209">
        <f t="shared" si="124"/>
        <v>0</v>
      </c>
      <c r="M622" s="353">
        <f t="shared" si="125"/>
        <v>0</v>
      </c>
      <c r="N622" s="104">
        <f t="shared" si="126"/>
        <v>0</v>
      </c>
      <c r="O622" s="104">
        <f t="shared" si="130"/>
        <v>2.3463725326735672</v>
      </c>
      <c r="P622" s="104">
        <f t="shared" si="118"/>
        <v>5.4592113762606598</v>
      </c>
      <c r="Q622" s="105">
        <f t="shared" si="131"/>
        <v>8.1120233030657118</v>
      </c>
      <c r="R622" s="105">
        <f t="shared" si="131"/>
        <v>-5.4544285445137408</v>
      </c>
      <c r="S622" s="104">
        <f t="shared" si="132"/>
        <v>3.4433745663263376E-2</v>
      </c>
      <c r="T622" s="104">
        <f t="shared" si="133"/>
        <v>1.5567698124292425E-2</v>
      </c>
      <c r="U622" s="104">
        <f t="shared" si="120"/>
        <v>-2.3152843405818382E-2</v>
      </c>
      <c r="V622" s="103">
        <f t="shared" si="134"/>
        <v>0</v>
      </c>
      <c r="W622" s="103">
        <f t="shared" si="135"/>
        <v>0</v>
      </c>
      <c r="X622" s="103">
        <f t="shared" si="136"/>
        <v>0</v>
      </c>
      <c r="Z622" s="102"/>
      <c r="AA622" s="102"/>
    </row>
    <row r="623" spans="1:27" x14ac:dyDescent="0.25">
      <c r="A623" s="530"/>
      <c r="B623" s="96">
        <v>86</v>
      </c>
      <c r="C623" s="363">
        <v>0</v>
      </c>
      <c r="D623" s="364">
        <f t="shared" si="137"/>
        <v>2760.7739999999999</v>
      </c>
      <c r="E623" s="109">
        <f t="shared" si="127"/>
        <v>0</v>
      </c>
      <c r="F623" s="375">
        <f t="shared" si="121"/>
        <v>10.599952344050738</v>
      </c>
      <c r="G623" s="376">
        <f t="shared" si="122"/>
        <v>1.418968318176838E-3</v>
      </c>
      <c r="H623" s="377">
        <f t="shared" si="123"/>
        <v>3.2714402325378526E-4</v>
      </c>
      <c r="I623" s="106">
        <f t="shared" si="128"/>
        <v>0</v>
      </c>
      <c r="J623" s="104">
        <f t="shared" si="128"/>
        <v>0</v>
      </c>
      <c r="K623" s="104">
        <f t="shared" si="129"/>
        <v>0</v>
      </c>
      <c r="L623" s="209">
        <f t="shared" si="124"/>
        <v>0</v>
      </c>
      <c r="M623" s="353">
        <f t="shared" si="125"/>
        <v>0</v>
      </c>
      <c r="N623" s="104">
        <f t="shared" si="126"/>
        <v>0</v>
      </c>
      <c r="O623" s="104">
        <f t="shared" si="130"/>
        <v>2.3463725326735672</v>
      </c>
      <c r="P623" s="104">
        <f t="shared" si="118"/>
        <v>5.4592113762606598</v>
      </c>
      <c r="Q623" s="105">
        <f t="shared" si="131"/>
        <v>8.2535798113771719</v>
      </c>
      <c r="R623" s="105">
        <f t="shared" si="131"/>
        <v>-5.4577924079424829</v>
      </c>
      <c r="S623" s="104">
        <f t="shared" si="132"/>
        <v>2.2285567654368503E-2</v>
      </c>
      <c r="T623" s="104">
        <f t="shared" si="133"/>
        <v>9.7448019279791371E-3</v>
      </c>
      <c r="U623" s="104">
        <f t="shared" si="120"/>
        <v>-1.4736636069483416E-2</v>
      </c>
      <c r="V623" s="103">
        <f t="shared" si="134"/>
        <v>0</v>
      </c>
      <c r="W623" s="103">
        <f t="shared" si="135"/>
        <v>0</v>
      </c>
      <c r="X623" s="103">
        <f t="shared" si="136"/>
        <v>0</v>
      </c>
      <c r="Z623" s="102"/>
      <c r="AA623" s="102"/>
    </row>
    <row r="624" spans="1:27" x14ac:dyDescent="0.25">
      <c r="A624" s="530"/>
      <c r="B624" s="96">
        <v>87</v>
      </c>
      <c r="C624" s="363">
        <v>0</v>
      </c>
      <c r="D624" s="364">
        <f t="shared" si="137"/>
        <v>2760.7739999999999</v>
      </c>
      <c r="E624" s="109">
        <f t="shared" si="127"/>
        <v>0</v>
      </c>
      <c r="F624" s="375">
        <f t="shared" si="121"/>
        <v>10.672975829833767</v>
      </c>
      <c r="G624" s="376">
        <f t="shared" si="122"/>
        <v>0</v>
      </c>
      <c r="H624" s="377">
        <f t="shared" si="123"/>
        <v>1.1194431068582139E-4</v>
      </c>
      <c r="I624" s="106">
        <f t="shared" si="128"/>
        <v>0</v>
      </c>
      <c r="J624" s="104">
        <f t="shared" si="128"/>
        <v>0</v>
      </c>
      <c r="K624" s="104">
        <f t="shared" si="129"/>
        <v>0</v>
      </c>
      <c r="L624" s="209">
        <f t="shared" si="124"/>
        <v>0</v>
      </c>
      <c r="M624" s="353">
        <f t="shared" si="125"/>
        <v>0</v>
      </c>
      <c r="N624" s="104">
        <f t="shared" si="126"/>
        <v>0</v>
      </c>
      <c r="O624" s="104">
        <f t="shared" si="130"/>
        <v>2.3463725326735672</v>
      </c>
      <c r="P624" s="104">
        <f t="shared" si="118"/>
        <v>5.4592113762606598</v>
      </c>
      <c r="Q624" s="105">
        <f t="shared" si="131"/>
        <v>8.3266032971602009</v>
      </c>
      <c r="R624" s="105">
        <f t="shared" si="131"/>
        <v>-5.4592113762606598</v>
      </c>
      <c r="S624" s="104">
        <f t="shared" si="132"/>
        <v>7.7613590469585939E-3</v>
      </c>
      <c r="T624" s="104">
        <f t="shared" si="133"/>
        <v>3.3362750432681383E-3</v>
      </c>
      <c r="U624" s="104">
        <f t="shared" si="120"/>
        <v>-5.0886175421435776E-3</v>
      </c>
      <c r="V624" s="103">
        <f t="shared" si="134"/>
        <v>0</v>
      </c>
      <c r="W624" s="103">
        <f t="shared" si="135"/>
        <v>0</v>
      </c>
      <c r="X624" s="103">
        <f t="shared" si="136"/>
        <v>0</v>
      </c>
      <c r="Z624" s="102"/>
      <c r="AA624" s="102"/>
    </row>
    <row r="625" spans="1:27" x14ac:dyDescent="0.25">
      <c r="A625" s="530"/>
      <c r="B625" s="96">
        <v>88</v>
      </c>
      <c r="C625" s="363">
        <v>0</v>
      </c>
      <c r="D625" s="364">
        <f t="shared" si="137"/>
        <v>2760.7739999999999</v>
      </c>
      <c r="E625" s="109">
        <f t="shared" si="127"/>
        <v>0</v>
      </c>
      <c r="F625" s="375"/>
      <c r="G625" s="376"/>
      <c r="H625" s="377"/>
      <c r="I625" s="106">
        <f t="shared" si="128"/>
        <v>0</v>
      </c>
      <c r="J625" s="104">
        <f t="shared" si="128"/>
        <v>0</v>
      </c>
      <c r="K625" s="104">
        <f t="shared" si="129"/>
        <v>0</v>
      </c>
      <c r="L625" s="209"/>
      <c r="M625" s="353"/>
      <c r="N625" s="104">
        <v>0</v>
      </c>
      <c r="O625" s="104">
        <f t="shared" si="130"/>
        <v>2.3463725326735672</v>
      </c>
      <c r="P625" s="104">
        <f t="shared" si="118"/>
        <v>5.4592113762606598</v>
      </c>
      <c r="Q625" s="105">
        <f t="shared" si="131"/>
        <v>-2.3463725326735672</v>
      </c>
      <c r="R625" s="105">
        <f t="shared" si="131"/>
        <v>-5.4592113762606598</v>
      </c>
      <c r="S625" s="104">
        <f t="shared" si="132"/>
        <v>0</v>
      </c>
      <c r="T625" s="104">
        <f t="shared" si="133"/>
        <v>0</v>
      </c>
      <c r="U625" s="104">
        <f t="shared" si="120"/>
        <v>0</v>
      </c>
      <c r="V625" s="103">
        <f t="shared" si="134"/>
        <v>0</v>
      </c>
      <c r="W625" s="103">
        <f t="shared" si="135"/>
        <v>0</v>
      </c>
      <c r="X625" s="103">
        <f t="shared" si="136"/>
        <v>0</v>
      </c>
      <c r="Z625" s="102"/>
      <c r="AA625" s="102"/>
    </row>
    <row r="626" spans="1:27" x14ac:dyDescent="0.25">
      <c r="A626" s="530"/>
      <c r="B626" s="96">
        <v>89</v>
      </c>
      <c r="C626" s="363">
        <v>0</v>
      </c>
      <c r="D626" s="364">
        <f t="shared" si="137"/>
        <v>2760.7739999999999</v>
      </c>
      <c r="E626" s="109">
        <f t="shared" si="127"/>
        <v>0</v>
      </c>
      <c r="F626" s="375"/>
      <c r="G626" s="376"/>
      <c r="H626" s="377"/>
      <c r="I626" s="106">
        <f t="shared" si="128"/>
        <v>0</v>
      </c>
      <c r="J626" s="104">
        <f t="shared" si="128"/>
        <v>0</v>
      </c>
      <c r="K626" s="104">
        <f t="shared" si="129"/>
        <v>0</v>
      </c>
      <c r="L626" s="354"/>
      <c r="M626" s="353"/>
      <c r="N626" s="104">
        <v>0</v>
      </c>
      <c r="O626" s="104">
        <f t="shared" si="130"/>
        <v>2.3463725326735672</v>
      </c>
      <c r="P626" s="104">
        <f t="shared" si="118"/>
        <v>5.4592113762606598</v>
      </c>
      <c r="Q626" s="105">
        <f t="shared" si="131"/>
        <v>-2.3463725326735672</v>
      </c>
      <c r="R626" s="105">
        <f t="shared" si="131"/>
        <v>-5.4592113762606598</v>
      </c>
      <c r="S626" s="104">
        <f t="shared" si="132"/>
        <v>0</v>
      </c>
      <c r="T626" s="104">
        <f t="shared" si="133"/>
        <v>0</v>
      </c>
      <c r="U626" s="104">
        <f t="shared" si="120"/>
        <v>0</v>
      </c>
      <c r="V626" s="103">
        <f t="shared" si="134"/>
        <v>0</v>
      </c>
      <c r="W626" s="103">
        <f t="shared" si="135"/>
        <v>0</v>
      </c>
      <c r="X626" s="103">
        <f t="shared" si="136"/>
        <v>0</v>
      </c>
      <c r="Z626" s="102"/>
      <c r="AA626" s="102"/>
    </row>
    <row r="627" spans="1:27" x14ac:dyDescent="0.25">
      <c r="A627" s="530"/>
      <c r="B627" s="96">
        <v>90</v>
      </c>
      <c r="C627" s="363">
        <v>0</v>
      </c>
      <c r="D627" s="364">
        <f t="shared" si="137"/>
        <v>2760.7739999999999</v>
      </c>
      <c r="E627" s="109">
        <f t="shared" si="127"/>
        <v>0</v>
      </c>
      <c r="F627" s="375"/>
      <c r="G627" s="376"/>
      <c r="H627" s="377"/>
      <c r="I627" s="106">
        <f t="shared" si="128"/>
        <v>0</v>
      </c>
      <c r="J627" s="104">
        <f t="shared" si="128"/>
        <v>0</v>
      </c>
      <c r="K627" s="104">
        <f t="shared" si="129"/>
        <v>0</v>
      </c>
      <c r="L627" s="354"/>
      <c r="M627" s="353"/>
      <c r="N627" s="104">
        <v>0</v>
      </c>
      <c r="O627" s="104">
        <f t="shared" si="130"/>
        <v>2.3463725326735672</v>
      </c>
      <c r="P627" s="104">
        <f t="shared" si="118"/>
        <v>5.4592113762606598</v>
      </c>
      <c r="Q627" s="105">
        <f t="shared" si="131"/>
        <v>-2.3463725326735672</v>
      </c>
      <c r="R627" s="105">
        <f t="shared" si="131"/>
        <v>-5.4592113762606598</v>
      </c>
      <c r="S627" s="104">
        <f t="shared" si="132"/>
        <v>0</v>
      </c>
      <c r="T627" s="104">
        <f t="shared" si="133"/>
        <v>0</v>
      </c>
      <c r="U627" s="104">
        <f t="shared" si="120"/>
        <v>0</v>
      </c>
      <c r="V627" s="103">
        <f t="shared" si="134"/>
        <v>0</v>
      </c>
      <c r="W627" s="103">
        <f t="shared" si="135"/>
        <v>0</v>
      </c>
      <c r="X627" s="103">
        <f t="shared" si="136"/>
        <v>0</v>
      </c>
      <c r="Z627" s="102"/>
      <c r="AA627" s="102"/>
    </row>
    <row r="628" spans="1:27" x14ac:dyDescent="0.25">
      <c r="A628" s="530"/>
      <c r="B628" s="96">
        <v>91</v>
      </c>
      <c r="C628" s="363">
        <v>0</v>
      </c>
      <c r="D628" s="364">
        <f t="shared" si="137"/>
        <v>2760.7739999999999</v>
      </c>
      <c r="E628" s="109">
        <f t="shared" si="127"/>
        <v>0</v>
      </c>
      <c r="F628" s="375"/>
      <c r="G628" s="376"/>
      <c r="H628" s="377"/>
      <c r="I628" s="106">
        <f t="shared" si="128"/>
        <v>0</v>
      </c>
      <c r="J628" s="104">
        <f t="shared" si="128"/>
        <v>0</v>
      </c>
      <c r="K628" s="104">
        <f t="shared" si="129"/>
        <v>0</v>
      </c>
      <c r="L628" s="354"/>
      <c r="M628" s="353"/>
      <c r="N628" s="104">
        <v>0</v>
      </c>
      <c r="O628" s="104">
        <f t="shared" si="130"/>
        <v>2.3463725326735672</v>
      </c>
      <c r="P628" s="104">
        <f t="shared" si="118"/>
        <v>5.4592113762606598</v>
      </c>
      <c r="Q628" s="105">
        <f t="shared" si="131"/>
        <v>-2.3463725326735672</v>
      </c>
      <c r="R628" s="105">
        <f t="shared" si="131"/>
        <v>-5.4592113762606598</v>
      </c>
      <c r="S628" s="104">
        <f t="shared" si="132"/>
        <v>0</v>
      </c>
      <c r="T628" s="104">
        <f t="shared" si="133"/>
        <v>0</v>
      </c>
      <c r="U628" s="104">
        <f t="shared" si="120"/>
        <v>0</v>
      </c>
      <c r="V628" s="103">
        <f t="shared" si="134"/>
        <v>0</v>
      </c>
      <c r="W628" s="103">
        <f t="shared" si="135"/>
        <v>0</v>
      </c>
      <c r="X628" s="103">
        <f t="shared" si="136"/>
        <v>0</v>
      </c>
      <c r="Z628" s="102"/>
      <c r="AA628" s="102"/>
    </row>
    <row r="629" spans="1:27" x14ac:dyDescent="0.25">
      <c r="A629" s="530"/>
      <c r="B629" s="96">
        <v>92</v>
      </c>
      <c r="C629" s="363">
        <v>0</v>
      </c>
      <c r="D629" s="364">
        <f t="shared" si="137"/>
        <v>2760.7739999999999</v>
      </c>
      <c r="E629" s="109">
        <f t="shared" si="127"/>
        <v>0</v>
      </c>
      <c r="F629" s="375"/>
      <c r="G629" s="376"/>
      <c r="H629" s="377"/>
      <c r="I629" s="106">
        <f t="shared" si="128"/>
        <v>0</v>
      </c>
      <c r="J629" s="104">
        <f t="shared" si="128"/>
        <v>0</v>
      </c>
      <c r="K629" s="104">
        <f t="shared" si="129"/>
        <v>0</v>
      </c>
      <c r="L629" s="354"/>
      <c r="M629" s="353"/>
      <c r="N629" s="104">
        <v>0</v>
      </c>
      <c r="O629" s="104">
        <f t="shared" si="130"/>
        <v>2.3463725326735672</v>
      </c>
      <c r="P629" s="104">
        <f t="shared" si="118"/>
        <v>5.4592113762606598</v>
      </c>
      <c r="Q629" s="105">
        <f t="shared" si="131"/>
        <v>-2.3463725326735672</v>
      </c>
      <c r="R629" s="105">
        <f t="shared" si="131"/>
        <v>-5.4592113762606598</v>
      </c>
      <c r="S629" s="104">
        <f t="shared" si="132"/>
        <v>0</v>
      </c>
      <c r="T629" s="104">
        <f t="shared" si="133"/>
        <v>0</v>
      </c>
      <c r="U629" s="104">
        <f t="shared" si="120"/>
        <v>0</v>
      </c>
      <c r="V629" s="103">
        <f t="shared" si="134"/>
        <v>0</v>
      </c>
      <c r="W629" s="103">
        <f t="shared" si="135"/>
        <v>0</v>
      </c>
      <c r="X629" s="103">
        <f t="shared" si="136"/>
        <v>0</v>
      </c>
      <c r="Z629" s="102"/>
      <c r="AA629" s="102"/>
    </row>
    <row r="630" spans="1:27" x14ac:dyDescent="0.25">
      <c r="A630" s="530"/>
      <c r="B630" s="96">
        <v>93</v>
      </c>
      <c r="C630" s="363">
        <v>0</v>
      </c>
      <c r="D630" s="364">
        <f t="shared" si="137"/>
        <v>2760.7739999999999</v>
      </c>
      <c r="E630" s="109">
        <f t="shared" si="127"/>
        <v>0</v>
      </c>
      <c r="F630" s="375"/>
      <c r="G630" s="376"/>
      <c r="H630" s="377"/>
      <c r="I630" s="106">
        <f t="shared" si="128"/>
        <v>0</v>
      </c>
      <c r="J630" s="104">
        <f t="shared" si="128"/>
        <v>0</v>
      </c>
      <c r="K630" s="104">
        <f t="shared" si="129"/>
        <v>0</v>
      </c>
      <c r="L630" s="354"/>
      <c r="M630" s="353"/>
      <c r="N630" s="104">
        <v>0</v>
      </c>
      <c r="O630" s="104">
        <f t="shared" si="130"/>
        <v>2.3463725326735672</v>
      </c>
      <c r="P630" s="104">
        <f t="shared" si="118"/>
        <v>5.4592113762606598</v>
      </c>
      <c r="Q630" s="105">
        <f t="shared" si="131"/>
        <v>-2.3463725326735672</v>
      </c>
      <c r="R630" s="105">
        <f t="shared" si="131"/>
        <v>-5.4592113762606598</v>
      </c>
      <c r="S630" s="104">
        <f t="shared" si="132"/>
        <v>0</v>
      </c>
      <c r="T630" s="104">
        <f t="shared" si="133"/>
        <v>0</v>
      </c>
      <c r="U630" s="104">
        <f t="shared" si="120"/>
        <v>0</v>
      </c>
      <c r="V630" s="103">
        <f t="shared" si="134"/>
        <v>0</v>
      </c>
      <c r="W630" s="103">
        <f t="shared" si="135"/>
        <v>0</v>
      </c>
      <c r="X630" s="103">
        <f t="shared" si="136"/>
        <v>0</v>
      </c>
      <c r="Z630" s="102"/>
      <c r="AA630" s="102"/>
    </row>
    <row r="631" spans="1:27" x14ac:dyDescent="0.25">
      <c r="A631" s="530"/>
      <c r="B631" s="96">
        <v>94</v>
      </c>
      <c r="C631" s="363">
        <v>0</v>
      </c>
      <c r="D631" s="364">
        <f t="shared" si="137"/>
        <v>2760.7739999999999</v>
      </c>
      <c r="E631" s="109">
        <f t="shared" si="127"/>
        <v>0</v>
      </c>
      <c r="F631" s="375"/>
      <c r="G631" s="376"/>
      <c r="H631" s="377"/>
      <c r="I631" s="106">
        <f t="shared" si="128"/>
        <v>0</v>
      </c>
      <c r="J631" s="104">
        <f t="shared" si="128"/>
        <v>0</v>
      </c>
      <c r="K631" s="104">
        <f t="shared" si="129"/>
        <v>0</v>
      </c>
      <c r="L631" s="354"/>
      <c r="M631" s="353"/>
      <c r="N631" s="104">
        <v>0</v>
      </c>
      <c r="O631" s="104">
        <f t="shared" si="130"/>
        <v>2.3463725326735672</v>
      </c>
      <c r="P631" s="104">
        <f t="shared" si="118"/>
        <v>5.4592113762606598</v>
      </c>
      <c r="Q631" s="105">
        <f t="shared" si="131"/>
        <v>-2.3463725326735672</v>
      </c>
      <c r="R631" s="105">
        <f t="shared" si="131"/>
        <v>-5.4592113762606598</v>
      </c>
      <c r="S631" s="104">
        <f t="shared" si="132"/>
        <v>0</v>
      </c>
      <c r="T631" s="104">
        <f t="shared" si="133"/>
        <v>0</v>
      </c>
      <c r="U631" s="104">
        <f t="shared" si="120"/>
        <v>0</v>
      </c>
      <c r="V631" s="103">
        <f t="shared" si="134"/>
        <v>0</v>
      </c>
      <c r="W631" s="103">
        <f t="shared" si="135"/>
        <v>0</v>
      </c>
      <c r="X631" s="103">
        <f t="shared" si="136"/>
        <v>0</v>
      </c>
      <c r="Z631" s="102"/>
      <c r="AA631" s="102"/>
    </row>
    <row r="632" spans="1:27" ht="15.75" thickBot="1" x14ac:dyDescent="0.3">
      <c r="A632" s="530"/>
      <c r="B632" s="96">
        <v>95</v>
      </c>
      <c r="C632" s="365">
        <v>0</v>
      </c>
      <c r="D632" s="366">
        <f t="shared" si="137"/>
        <v>2760.7739999999999</v>
      </c>
      <c r="E632" s="109">
        <f t="shared" si="127"/>
        <v>0</v>
      </c>
      <c r="F632" s="378"/>
      <c r="G632" s="379"/>
      <c r="H632" s="380"/>
      <c r="I632" s="106">
        <f t="shared" si="128"/>
        <v>0</v>
      </c>
      <c r="J632" s="104">
        <f t="shared" si="128"/>
        <v>0</v>
      </c>
      <c r="K632" s="104">
        <f t="shared" si="129"/>
        <v>0</v>
      </c>
      <c r="L632" s="355"/>
      <c r="M632" s="356"/>
      <c r="N632" s="104">
        <v>0</v>
      </c>
      <c r="O632" s="104">
        <f t="shared" si="130"/>
        <v>2.3463725326735672</v>
      </c>
      <c r="P632" s="104">
        <f t="shared" si="118"/>
        <v>5.4592113762606598</v>
      </c>
      <c r="Q632" s="105">
        <f t="shared" si="131"/>
        <v>-2.3463725326735672</v>
      </c>
      <c r="R632" s="105">
        <f t="shared" si="131"/>
        <v>-5.4592113762606598</v>
      </c>
      <c r="S632" s="104">
        <f t="shared" si="132"/>
        <v>0</v>
      </c>
      <c r="T632" s="104">
        <f t="shared" si="133"/>
        <v>0</v>
      </c>
      <c r="U632" s="104">
        <f t="shared" si="120"/>
        <v>0</v>
      </c>
      <c r="V632" s="103">
        <f t="shared" si="134"/>
        <v>0</v>
      </c>
      <c r="W632" s="103">
        <f t="shared" si="135"/>
        <v>0</v>
      </c>
      <c r="X632" s="103">
        <f t="shared" si="136"/>
        <v>0</v>
      </c>
      <c r="Z632" s="102"/>
      <c r="AA632" s="102"/>
    </row>
    <row r="633" spans="1:27" x14ac:dyDescent="0.25">
      <c r="B633" s="326"/>
      <c r="C633" s="101"/>
      <c r="D633" s="101"/>
      <c r="E633" s="101"/>
      <c r="F633" s="101"/>
      <c r="G633" s="101"/>
      <c r="H633" s="101"/>
      <c r="I633" s="100"/>
      <c r="J633" s="99"/>
      <c r="K633" s="99"/>
      <c r="L633" s="98"/>
      <c r="M633" s="98"/>
      <c r="N633" s="98"/>
      <c r="O633" s="98"/>
      <c r="P633" s="98"/>
      <c r="Q633" s="98"/>
      <c r="R633" s="98"/>
      <c r="S633" s="98"/>
      <c r="T633" s="98"/>
      <c r="U633" s="98"/>
      <c r="V633" s="97"/>
      <c r="W633" s="97"/>
      <c r="X633" s="97"/>
    </row>
    <row r="634" spans="1:27" x14ac:dyDescent="0.25">
      <c r="B634" s="326"/>
      <c r="C634" s="101"/>
      <c r="D634" s="101"/>
      <c r="E634" s="101"/>
      <c r="F634" s="101"/>
      <c r="G634" s="101"/>
      <c r="H634" s="100"/>
      <c r="I634" s="100"/>
      <c r="J634" s="99"/>
      <c r="K634" s="99"/>
      <c r="L634" s="98"/>
      <c r="M634" s="98"/>
      <c r="N634" s="98"/>
      <c r="O634" s="98"/>
      <c r="P634" s="98"/>
      <c r="Q634" s="98"/>
      <c r="R634" s="98"/>
      <c r="S634" s="98"/>
      <c r="T634" s="98"/>
      <c r="U634" s="98"/>
      <c r="V634" s="97"/>
      <c r="W634" s="97"/>
      <c r="X634" s="97"/>
    </row>
    <row r="635" spans="1:27" x14ac:dyDescent="0.25">
      <c r="B635" s="95" t="s">
        <v>1874</v>
      </c>
      <c r="C635" s="326"/>
      <c r="D635" s="326"/>
      <c r="E635" s="326"/>
      <c r="F635" s="326"/>
      <c r="G635" s="326"/>
      <c r="H635" s="96"/>
      <c r="I635" s="94">
        <f>SUM(I538:I634)</f>
        <v>443.93379003619827</v>
      </c>
      <c r="J635" s="94">
        <f>SUM(J538:J634)</f>
        <v>1041.6340512666102</v>
      </c>
      <c r="K635" s="94">
        <f>SUM(K538:K634)</f>
        <v>2423.5283968721246</v>
      </c>
      <c r="L635" s="326"/>
      <c r="M635" s="326"/>
      <c r="N635" s="326" t="s">
        <v>2064</v>
      </c>
      <c r="O635" s="326"/>
      <c r="P635" s="326" t="s">
        <v>2065</v>
      </c>
      <c r="Q635" s="326"/>
      <c r="R635" s="326"/>
      <c r="S635" s="326"/>
      <c r="T635" s="326"/>
      <c r="U635" s="95" t="s">
        <v>1874</v>
      </c>
      <c r="V635" s="94">
        <f>SUM(V538:V634)</f>
        <v>67.648847329012824</v>
      </c>
      <c r="W635" s="94">
        <f>SUM(W538:W634)</f>
        <v>1535.5846021802049</v>
      </c>
      <c r="X635" s="93">
        <f>SUM(X538:X634)</f>
        <v>18.185381749351123</v>
      </c>
    </row>
    <row r="636" spans="1:27" x14ac:dyDescent="0.25">
      <c r="B636" s="326"/>
      <c r="C636" s="326"/>
      <c r="D636" s="326"/>
      <c r="E636" s="326"/>
      <c r="F636" s="326"/>
      <c r="G636" s="326"/>
      <c r="H636" s="326"/>
      <c r="I636" s="326"/>
      <c r="J636" s="326"/>
      <c r="K636" s="326"/>
      <c r="L636" s="326"/>
      <c r="M636" s="326"/>
      <c r="N636" s="326">
        <v>3.0000000000000001E-3</v>
      </c>
      <c r="O636" s="326"/>
      <c r="P636" s="326">
        <v>3.0000000000000001E-3</v>
      </c>
      <c r="Q636" s="326"/>
      <c r="R636" s="326"/>
      <c r="S636" s="326"/>
      <c r="T636" s="326"/>
      <c r="U636" s="326"/>
      <c r="V636" s="85" t="s">
        <v>1873</v>
      </c>
      <c r="W636" s="85" t="s">
        <v>1872</v>
      </c>
      <c r="X636" s="85" t="s">
        <v>1871</v>
      </c>
    </row>
    <row r="637" spans="1:27" x14ac:dyDescent="0.25">
      <c r="K637" s="89"/>
      <c r="L637" s="89"/>
      <c r="N637" s="91"/>
    </row>
    <row r="638" spans="1:27" x14ac:dyDescent="0.25">
      <c r="B638" s="521" t="s">
        <v>1870</v>
      </c>
      <c r="C638" s="521"/>
      <c r="D638" s="521"/>
      <c r="E638" s="521"/>
      <c r="F638" s="521"/>
      <c r="G638" s="521"/>
      <c r="H638" s="84">
        <f>J635/I635</f>
        <v>2.3463725326735672</v>
      </c>
      <c r="I638" s="84"/>
      <c r="J638" s="84"/>
      <c r="K638" s="235"/>
      <c r="L638" s="235"/>
      <c r="U638" s="85" t="s">
        <v>1869</v>
      </c>
      <c r="V638" s="90">
        <f>W635*V635-(X635^2)</f>
        <v>103549.82020430194</v>
      </c>
    </row>
    <row r="639" spans="1:27" x14ac:dyDescent="0.25">
      <c r="K639" s="89"/>
      <c r="L639" s="89"/>
    </row>
    <row r="640" spans="1:27" x14ac:dyDescent="0.25">
      <c r="B640" s="521" t="s">
        <v>1868</v>
      </c>
      <c r="C640" s="521"/>
      <c r="D640" s="521"/>
      <c r="E640" s="521"/>
      <c r="F640" s="521"/>
      <c r="G640" s="521"/>
      <c r="H640" s="84">
        <f>K635/I635</f>
        <v>5.4592113762606598</v>
      </c>
      <c r="I640" s="84"/>
      <c r="J640" s="84"/>
      <c r="K640" s="235"/>
      <c r="L640" s="235"/>
      <c r="U640" s="85" t="s">
        <v>1867</v>
      </c>
      <c r="V640">
        <f>W635/(D556*V638)</f>
        <v>5.3714748077177435E-6</v>
      </c>
    </row>
    <row r="641" spans="1:37" x14ac:dyDescent="0.25">
      <c r="K641" s="235"/>
      <c r="L641" s="89"/>
      <c r="AJ641">
        <f>2^4</f>
        <v>16</v>
      </c>
      <c r="AK641">
        <f>AJ641*2</f>
        <v>32</v>
      </c>
    </row>
    <row r="642" spans="1:37" x14ac:dyDescent="0.25">
      <c r="D642" s="85"/>
      <c r="E642" s="84"/>
      <c r="F642" s="84"/>
      <c r="O642" s="89"/>
      <c r="P642" s="89"/>
    </row>
    <row r="643" spans="1:37" x14ac:dyDescent="0.25">
      <c r="D643" s="85"/>
      <c r="E643" s="84"/>
      <c r="F643" s="84"/>
      <c r="K643" s="89"/>
      <c r="O643" s="236"/>
      <c r="P643" s="89"/>
    </row>
    <row r="644" spans="1:37" x14ac:dyDescent="0.25">
      <c r="D644" s="85"/>
      <c r="E644" s="88"/>
      <c r="F644" s="88"/>
      <c r="O644" s="235"/>
      <c r="P644" s="89"/>
    </row>
    <row r="645" spans="1:37" x14ac:dyDescent="0.25">
      <c r="D645" s="85"/>
      <c r="E645" s="84"/>
      <c r="F645" s="84"/>
      <c r="I645" s="87"/>
      <c r="O645" s="89"/>
      <c r="P645" s="89"/>
    </row>
    <row r="646" spans="1:37" x14ac:dyDescent="0.25">
      <c r="C646" t="s">
        <v>1866</v>
      </c>
      <c r="D646" s="86">
        <f>B649</f>
        <v>5.3457895888013973E-2</v>
      </c>
      <c r="E646" s="84"/>
      <c r="F646" s="84"/>
      <c r="L646" t="s">
        <v>1865</v>
      </c>
      <c r="O646" s="89"/>
      <c r="P646" s="89"/>
    </row>
    <row r="647" spans="1:37" x14ac:dyDescent="0.25">
      <c r="D647" s="85"/>
      <c r="E647" s="84"/>
      <c r="F647" s="84"/>
    </row>
    <row r="648" spans="1:37" x14ac:dyDescent="0.25">
      <c r="B648" t="s">
        <v>1837</v>
      </c>
      <c r="C648" t="s">
        <v>1838</v>
      </c>
      <c r="D648" t="s">
        <v>1864</v>
      </c>
      <c r="E648" t="s">
        <v>1863</v>
      </c>
      <c r="F648" t="s">
        <v>1862</v>
      </c>
      <c r="G648" t="s">
        <v>1861</v>
      </c>
      <c r="H648" t="s">
        <v>1860</v>
      </c>
      <c r="I648" t="s">
        <v>1859</v>
      </c>
      <c r="J648" t="s">
        <v>1858</v>
      </c>
      <c r="K648" t="s">
        <v>1857</v>
      </c>
      <c r="L648" t="s">
        <v>1856</v>
      </c>
    </row>
    <row r="649" spans="1:37" x14ac:dyDescent="0.25">
      <c r="A649">
        <v>1</v>
      </c>
      <c r="B649" s="73">
        <f t="shared" ref="B649:B670" si="138">$A$334</f>
        <v>5.3457895888013973E-2</v>
      </c>
      <c r="C649" s="72">
        <v>-0.1</v>
      </c>
      <c r="D649" s="72">
        <v>0</v>
      </c>
      <c r="E649" s="73">
        <f t="shared" ref="E649:E670" si="139">E538</f>
        <v>7063.236614079965</v>
      </c>
      <c r="F649" s="72">
        <f t="shared" ref="F649:F670" si="140">$W$635</f>
        <v>1535.5846021802049</v>
      </c>
      <c r="G649" s="72">
        <f t="shared" ref="G649:G670" si="141">$V$635</f>
        <v>67.648847329012824</v>
      </c>
      <c r="H649" s="72">
        <f t="shared" ref="H649:H670" si="142">$V$638</f>
        <v>103549.82020430194</v>
      </c>
      <c r="I649" s="72">
        <f t="shared" ref="I649:I670" si="143">$X$635</f>
        <v>18.185381749351123</v>
      </c>
      <c r="J649">
        <f t="shared" ref="J649:J670" si="144">-(C649*E649*(($E$334*F649)+($F$334*I649))/H649)+(D649*E649*($F$334*G649+($E$334*I649))/H649)</f>
        <v>-1.3572809426926635</v>
      </c>
      <c r="K649">
        <f>(MAX(J649:J670)/BS117)*100</f>
        <v>2.5417497849333576E-2</v>
      </c>
      <c r="L649">
        <f>(MIN(J649:J670)/BS117)*100</f>
        <v>-2.5678464384184273E-2</v>
      </c>
    </row>
    <row r="650" spans="1:37" x14ac:dyDescent="0.25">
      <c r="A650">
        <v>2</v>
      </c>
      <c r="B650" s="73">
        <f t="shared" si="138"/>
        <v>5.3457895888013973E-2</v>
      </c>
      <c r="C650" s="72">
        <v>0.1</v>
      </c>
      <c r="D650" s="72">
        <v>0.1</v>
      </c>
      <c r="E650" s="73">
        <f t="shared" si="139"/>
        <v>7063.236614079965</v>
      </c>
      <c r="F650" s="72">
        <f t="shared" si="140"/>
        <v>1535.5846021802049</v>
      </c>
      <c r="G650" s="72">
        <f t="shared" si="141"/>
        <v>67.648847329012824</v>
      </c>
      <c r="H650" s="72">
        <f t="shared" si="142"/>
        <v>103549.82020430194</v>
      </c>
      <c r="I650" s="72">
        <f t="shared" si="143"/>
        <v>18.185381749351123</v>
      </c>
      <c r="J650">
        <f t="shared" si="144"/>
        <v>1.343487091972698</v>
      </c>
    </row>
    <row r="651" spans="1:37" x14ac:dyDescent="0.25">
      <c r="A651">
        <v>3</v>
      </c>
      <c r="B651" s="73">
        <f t="shared" si="138"/>
        <v>5.3457895888013973E-2</v>
      </c>
      <c r="C651" s="72">
        <f t="shared" ref="C651:C670" si="145">R540</f>
        <v>-5.4592113762606598</v>
      </c>
      <c r="D651" s="72">
        <f t="shared" ref="D651:D670" si="146">Q540</f>
        <v>-2.3463725326735672</v>
      </c>
      <c r="E651" s="73">
        <f t="shared" si="139"/>
        <v>0</v>
      </c>
      <c r="F651" s="72">
        <f t="shared" si="140"/>
        <v>1535.5846021802049</v>
      </c>
      <c r="G651" s="72">
        <f t="shared" si="141"/>
        <v>67.648847329012824</v>
      </c>
      <c r="H651" s="72">
        <f t="shared" si="142"/>
        <v>103549.82020430194</v>
      </c>
      <c r="I651" s="72">
        <f t="shared" si="143"/>
        <v>18.185381749351123</v>
      </c>
      <c r="J651">
        <f t="shared" si="144"/>
        <v>0</v>
      </c>
    </row>
    <row r="652" spans="1:37" x14ac:dyDescent="0.25">
      <c r="A652">
        <v>4</v>
      </c>
      <c r="B652" s="73">
        <f t="shared" si="138"/>
        <v>5.3457895888013973E-2</v>
      </c>
      <c r="C652" s="72">
        <f t="shared" si="145"/>
        <v>-5.4592113762606598</v>
      </c>
      <c r="D652" s="72">
        <f t="shared" si="146"/>
        <v>-2.3463725326735672</v>
      </c>
      <c r="E652" s="73">
        <f t="shared" si="139"/>
        <v>0</v>
      </c>
      <c r="F652" s="72">
        <f t="shared" si="140"/>
        <v>1535.5846021802049</v>
      </c>
      <c r="G652" s="72">
        <f t="shared" si="141"/>
        <v>67.648847329012824</v>
      </c>
      <c r="H652" s="72">
        <f t="shared" si="142"/>
        <v>103549.82020430194</v>
      </c>
      <c r="I652" s="72">
        <f t="shared" si="143"/>
        <v>18.185381749351123</v>
      </c>
      <c r="J652">
        <f t="shared" si="144"/>
        <v>0</v>
      </c>
    </row>
    <row r="653" spans="1:37" x14ac:dyDescent="0.25">
      <c r="A653">
        <v>5</v>
      </c>
      <c r="B653" s="73">
        <f t="shared" si="138"/>
        <v>5.3457895888013973E-2</v>
      </c>
      <c r="C653" s="72">
        <f t="shared" si="145"/>
        <v>-5.4592113762606598</v>
      </c>
      <c r="D653" s="72">
        <f t="shared" si="146"/>
        <v>-2.3463725326735672</v>
      </c>
      <c r="E653" s="73">
        <f t="shared" si="139"/>
        <v>0</v>
      </c>
      <c r="F653" s="72">
        <f t="shared" si="140"/>
        <v>1535.5846021802049</v>
      </c>
      <c r="G653" s="72">
        <f t="shared" si="141"/>
        <v>67.648847329012824</v>
      </c>
      <c r="H653" s="72">
        <f t="shared" si="142"/>
        <v>103549.82020430194</v>
      </c>
      <c r="I653" s="72">
        <f t="shared" si="143"/>
        <v>18.185381749351123</v>
      </c>
      <c r="J653">
        <f t="shared" si="144"/>
        <v>0</v>
      </c>
    </row>
    <row r="654" spans="1:37" ht="15.75" thickBot="1" x14ac:dyDescent="0.3">
      <c r="A654">
        <v>6</v>
      </c>
      <c r="B654" s="73">
        <f t="shared" si="138"/>
        <v>5.3457895888013973E-2</v>
      </c>
      <c r="C654" s="72">
        <f t="shared" si="145"/>
        <v>-5.4592113762606598</v>
      </c>
      <c r="D654" s="72">
        <f t="shared" si="146"/>
        <v>-2.3463725326735672</v>
      </c>
      <c r="E654" s="73">
        <f t="shared" si="139"/>
        <v>0</v>
      </c>
      <c r="F654" s="72">
        <f t="shared" si="140"/>
        <v>1535.5846021802049</v>
      </c>
      <c r="G654" s="72">
        <f t="shared" si="141"/>
        <v>67.648847329012824</v>
      </c>
      <c r="H654" s="72">
        <f t="shared" si="142"/>
        <v>103549.82020430194</v>
      </c>
      <c r="I654" s="72">
        <f t="shared" si="143"/>
        <v>18.185381749351123</v>
      </c>
      <c r="J654">
        <f t="shared" si="144"/>
        <v>0</v>
      </c>
      <c r="O654" t="s">
        <v>1855</v>
      </c>
    </row>
    <row r="655" spans="1:37" x14ac:dyDescent="0.25">
      <c r="A655">
        <v>7</v>
      </c>
      <c r="B655" s="73">
        <f t="shared" si="138"/>
        <v>5.3457895888013973E-2</v>
      </c>
      <c r="C655" s="72">
        <f t="shared" si="145"/>
        <v>-5.4592113762606598</v>
      </c>
      <c r="D655" s="72">
        <f t="shared" si="146"/>
        <v>-2.3463725326735672</v>
      </c>
      <c r="E655" s="73">
        <f t="shared" si="139"/>
        <v>0</v>
      </c>
      <c r="F655" s="72">
        <f t="shared" si="140"/>
        <v>1535.5846021802049</v>
      </c>
      <c r="G655" s="72">
        <f t="shared" si="141"/>
        <v>67.648847329012824</v>
      </c>
      <c r="H655" s="72">
        <f t="shared" si="142"/>
        <v>103549.82020430194</v>
      </c>
      <c r="I655" s="72">
        <f t="shared" si="143"/>
        <v>18.185381749351123</v>
      </c>
      <c r="J655">
        <f t="shared" si="144"/>
        <v>0</v>
      </c>
      <c r="O655" s="83" t="s">
        <v>1854</v>
      </c>
      <c r="P655" s="82">
        <f>-M657*SUM(H538:H539)</f>
        <v>8.4325335428607789E-2</v>
      </c>
    </row>
    <row r="656" spans="1:37" x14ac:dyDescent="0.25">
      <c r="A656">
        <v>8</v>
      </c>
      <c r="B656" s="73">
        <f t="shared" si="138"/>
        <v>5.3457895888013973E-2</v>
      </c>
      <c r="C656" s="72">
        <f t="shared" si="145"/>
        <v>-5.4592113762606598</v>
      </c>
      <c r="D656" s="72">
        <f t="shared" si="146"/>
        <v>-2.3463725326735672</v>
      </c>
      <c r="E656" s="73">
        <f t="shared" si="139"/>
        <v>0</v>
      </c>
      <c r="F656" s="72">
        <f t="shared" si="140"/>
        <v>1535.5846021802049</v>
      </c>
      <c r="G656" s="72">
        <f t="shared" si="141"/>
        <v>67.648847329012824</v>
      </c>
      <c r="H656" s="72">
        <f t="shared" si="142"/>
        <v>103549.82020430194</v>
      </c>
      <c r="I656" s="72">
        <f t="shared" si="143"/>
        <v>18.185381749351123</v>
      </c>
      <c r="J656">
        <f t="shared" si="144"/>
        <v>0</v>
      </c>
      <c r="L656" t="s">
        <v>1853</v>
      </c>
      <c r="M656" t="s">
        <v>1852</v>
      </c>
      <c r="O656" s="77" t="s">
        <v>1851</v>
      </c>
      <c r="P656" s="81">
        <f>SUM(M538:M539)</f>
        <v>3.4745160235501339E-4</v>
      </c>
    </row>
    <row r="657" spans="1:18" x14ac:dyDescent="0.25">
      <c r="A657">
        <v>9</v>
      </c>
      <c r="B657" s="73">
        <f t="shared" si="138"/>
        <v>5.3457895888013973E-2</v>
      </c>
      <c r="C657" s="72">
        <f t="shared" si="145"/>
        <v>-5.4592113762606598</v>
      </c>
      <c r="D657" s="72">
        <f t="shared" si="146"/>
        <v>-2.3463725326735672</v>
      </c>
      <c r="E657" s="73">
        <f t="shared" si="139"/>
        <v>0</v>
      </c>
      <c r="F657" s="72">
        <f t="shared" si="140"/>
        <v>1535.5846021802049</v>
      </c>
      <c r="G657" s="72">
        <f t="shared" si="141"/>
        <v>67.648847329012824</v>
      </c>
      <c r="H657" s="72">
        <f t="shared" si="142"/>
        <v>103549.82020430194</v>
      </c>
      <c r="I657" s="72">
        <f t="shared" si="143"/>
        <v>18.185381749351123</v>
      </c>
      <c r="J657">
        <f t="shared" si="144"/>
        <v>0</v>
      </c>
      <c r="L657" s="80">
        <f>MAX(J649:J669)</f>
        <v>1.343487091972698</v>
      </c>
      <c r="M657">
        <f>MIN(J649:J669)</f>
        <v>-1.3572809426926635</v>
      </c>
      <c r="O657" s="77" t="s">
        <v>1850</v>
      </c>
      <c r="P657" s="79">
        <f>((PI()^2)*C538*P656/(4*P655))^(1/2)</f>
        <v>445.25141000898964</v>
      </c>
      <c r="Q657" s="78"/>
      <c r="R657">
        <f>SQRT((PI()^2)*C538*D396/(4*ABS(B396)))</f>
        <v>512.33091254951694</v>
      </c>
    </row>
    <row r="658" spans="1:18" x14ac:dyDescent="0.25">
      <c r="A658">
        <v>10</v>
      </c>
      <c r="B658" s="73">
        <f t="shared" si="138"/>
        <v>5.3457895888013973E-2</v>
      </c>
      <c r="C658" s="72">
        <f t="shared" si="145"/>
        <v>-5.4592113762606598</v>
      </c>
      <c r="D658" s="72">
        <f t="shared" si="146"/>
        <v>-2.3463725326735672</v>
      </c>
      <c r="E658" s="73">
        <f t="shared" si="139"/>
        <v>0</v>
      </c>
      <c r="F658" s="72">
        <f t="shared" si="140"/>
        <v>1535.5846021802049</v>
      </c>
      <c r="G658" s="72">
        <f t="shared" si="141"/>
        <v>67.648847329012824</v>
      </c>
      <c r="H658" s="72">
        <f t="shared" si="142"/>
        <v>103549.82020430194</v>
      </c>
      <c r="I658" s="72">
        <f t="shared" si="143"/>
        <v>18.185381749351123</v>
      </c>
      <c r="J658">
        <f t="shared" si="144"/>
        <v>0</v>
      </c>
      <c r="O658" s="77" t="s">
        <v>1849</v>
      </c>
      <c r="P658" s="76">
        <f>C100/(P657*2)</f>
        <v>1.2006227198008123E-4</v>
      </c>
    </row>
    <row r="659" spans="1:18" ht="15.75" thickBot="1" x14ac:dyDescent="0.3">
      <c r="A659">
        <v>11</v>
      </c>
      <c r="B659" s="73">
        <f t="shared" si="138"/>
        <v>5.3457895888013973E-2</v>
      </c>
      <c r="C659" s="72">
        <f t="shared" si="145"/>
        <v>-5.4592113762606598</v>
      </c>
      <c r="D659" s="72">
        <f t="shared" si="146"/>
        <v>-2.3463725326735672</v>
      </c>
      <c r="E659" s="73">
        <f t="shared" si="139"/>
        <v>0</v>
      </c>
      <c r="F659" s="72">
        <f t="shared" si="140"/>
        <v>1535.5846021802049</v>
      </c>
      <c r="G659" s="72">
        <f t="shared" si="141"/>
        <v>67.648847329012824</v>
      </c>
      <c r="H659" s="72">
        <f t="shared" si="142"/>
        <v>103549.82020430194</v>
      </c>
      <c r="I659" s="72">
        <f t="shared" si="143"/>
        <v>18.185381749351123</v>
      </c>
      <c r="J659">
        <f t="shared" si="144"/>
        <v>0</v>
      </c>
      <c r="O659" s="75" t="s">
        <v>1848</v>
      </c>
      <c r="P659" s="74">
        <f>ROUNDUP(P658,0)</f>
        <v>1</v>
      </c>
    </row>
    <row r="660" spans="1:18" x14ac:dyDescent="0.25">
      <c r="A660">
        <v>12</v>
      </c>
      <c r="B660" s="73">
        <f t="shared" si="138"/>
        <v>5.3457895888013973E-2</v>
      </c>
      <c r="C660" s="72">
        <f t="shared" si="145"/>
        <v>-5.4592113762606598</v>
      </c>
      <c r="D660" s="72">
        <f t="shared" si="146"/>
        <v>-2.3463725326735672</v>
      </c>
      <c r="E660" s="73">
        <f t="shared" si="139"/>
        <v>0</v>
      </c>
      <c r="F660" s="72">
        <f t="shared" si="140"/>
        <v>1535.5846021802049</v>
      </c>
      <c r="G660" s="72">
        <f t="shared" si="141"/>
        <v>67.648847329012824</v>
      </c>
      <c r="H660" s="72">
        <f t="shared" si="142"/>
        <v>103549.82020430194</v>
      </c>
      <c r="I660" s="72">
        <f t="shared" si="143"/>
        <v>18.185381749351123</v>
      </c>
      <c r="J660">
        <f t="shared" si="144"/>
        <v>0</v>
      </c>
    </row>
    <row r="661" spans="1:18" x14ac:dyDescent="0.25">
      <c r="A661">
        <v>13</v>
      </c>
      <c r="B661" s="73">
        <f t="shared" si="138"/>
        <v>5.3457895888013973E-2</v>
      </c>
      <c r="C661" s="72">
        <f t="shared" si="145"/>
        <v>-5.4592113762606598</v>
      </c>
      <c r="D661" s="72">
        <f t="shared" si="146"/>
        <v>-2.3463725326735672</v>
      </c>
      <c r="E661" s="73">
        <f t="shared" si="139"/>
        <v>0</v>
      </c>
      <c r="F661" s="72">
        <f t="shared" si="140"/>
        <v>1535.5846021802049</v>
      </c>
      <c r="G661" s="72">
        <f t="shared" si="141"/>
        <v>67.648847329012824</v>
      </c>
      <c r="H661" s="72">
        <f t="shared" si="142"/>
        <v>103549.82020430194</v>
      </c>
      <c r="I661" s="72">
        <f t="shared" si="143"/>
        <v>18.185381749351123</v>
      </c>
      <c r="J661">
        <f t="shared" si="144"/>
        <v>0</v>
      </c>
    </row>
    <row r="662" spans="1:18" x14ac:dyDescent="0.25">
      <c r="A662">
        <v>14</v>
      </c>
      <c r="B662" s="73">
        <f t="shared" si="138"/>
        <v>5.3457895888013973E-2</v>
      </c>
      <c r="C662" s="72">
        <f t="shared" si="145"/>
        <v>-5.4592113762606598</v>
      </c>
      <c r="D662" s="72">
        <f t="shared" si="146"/>
        <v>-2.3463725326735672</v>
      </c>
      <c r="E662" s="73">
        <f t="shared" si="139"/>
        <v>0</v>
      </c>
      <c r="F662" s="72">
        <f t="shared" si="140"/>
        <v>1535.5846021802049</v>
      </c>
      <c r="G662" s="72">
        <f t="shared" si="141"/>
        <v>67.648847329012824</v>
      </c>
      <c r="H662" s="72">
        <f t="shared" si="142"/>
        <v>103549.82020430194</v>
      </c>
      <c r="I662" s="72">
        <f t="shared" si="143"/>
        <v>18.185381749351123</v>
      </c>
      <c r="J662">
        <f t="shared" si="144"/>
        <v>0</v>
      </c>
    </row>
    <row r="663" spans="1:18" x14ac:dyDescent="0.25">
      <c r="A663">
        <v>15</v>
      </c>
      <c r="B663" s="73">
        <f t="shared" si="138"/>
        <v>5.3457895888013973E-2</v>
      </c>
      <c r="C663" s="72">
        <f t="shared" si="145"/>
        <v>-5.4592113762606598</v>
      </c>
      <c r="D663" s="72">
        <f t="shared" si="146"/>
        <v>-2.3463725326735672</v>
      </c>
      <c r="E663" s="73">
        <f t="shared" si="139"/>
        <v>0</v>
      </c>
      <c r="F663" s="72">
        <f t="shared" si="140"/>
        <v>1535.5846021802049</v>
      </c>
      <c r="G663" s="72">
        <f t="shared" si="141"/>
        <v>67.648847329012824</v>
      </c>
      <c r="H663" s="72">
        <f t="shared" si="142"/>
        <v>103549.82020430194</v>
      </c>
      <c r="I663" s="72">
        <f t="shared" si="143"/>
        <v>18.185381749351123</v>
      </c>
      <c r="J663">
        <f t="shared" si="144"/>
        <v>0</v>
      </c>
    </row>
    <row r="664" spans="1:18" x14ac:dyDescent="0.25">
      <c r="A664">
        <v>16</v>
      </c>
      <c r="B664" s="73">
        <f t="shared" si="138"/>
        <v>5.3457895888013973E-2</v>
      </c>
      <c r="C664" s="72">
        <f t="shared" si="145"/>
        <v>-5.4592113762606598</v>
      </c>
      <c r="D664" s="72">
        <f t="shared" si="146"/>
        <v>-2.3463725326735672</v>
      </c>
      <c r="E664" s="73">
        <f t="shared" si="139"/>
        <v>0</v>
      </c>
      <c r="F664" s="72">
        <f t="shared" si="140"/>
        <v>1535.5846021802049</v>
      </c>
      <c r="G664" s="72">
        <f t="shared" si="141"/>
        <v>67.648847329012824</v>
      </c>
      <c r="H664" s="72">
        <f t="shared" si="142"/>
        <v>103549.82020430194</v>
      </c>
      <c r="I664" s="72">
        <f t="shared" si="143"/>
        <v>18.185381749351123</v>
      </c>
      <c r="J664">
        <f t="shared" si="144"/>
        <v>0</v>
      </c>
    </row>
    <row r="665" spans="1:18" x14ac:dyDescent="0.25">
      <c r="A665">
        <v>17</v>
      </c>
      <c r="B665" s="73">
        <f t="shared" si="138"/>
        <v>5.3457895888013973E-2</v>
      </c>
      <c r="C665" s="72">
        <f t="shared" si="145"/>
        <v>-5.4592113762606598</v>
      </c>
      <c r="D665" s="72">
        <f t="shared" si="146"/>
        <v>-2.3463725326735672</v>
      </c>
      <c r="E665" s="73">
        <f t="shared" si="139"/>
        <v>0</v>
      </c>
      <c r="F665" s="72">
        <f t="shared" si="140"/>
        <v>1535.5846021802049</v>
      </c>
      <c r="G665" s="72">
        <f t="shared" si="141"/>
        <v>67.648847329012824</v>
      </c>
      <c r="H665" s="72">
        <f t="shared" si="142"/>
        <v>103549.82020430194</v>
      </c>
      <c r="I665" s="72">
        <f t="shared" si="143"/>
        <v>18.185381749351123</v>
      </c>
      <c r="J665">
        <f t="shared" si="144"/>
        <v>0</v>
      </c>
    </row>
    <row r="666" spans="1:18" x14ac:dyDescent="0.25">
      <c r="A666">
        <v>18</v>
      </c>
      <c r="B666" s="73">
        <f t="shared" si="138"/>
        <v>5.3457895888013973E-2</v>
      </c>
      <c r="C666" s="72">
        <f t="shared" si="145"/>
        <v>-5.4592113762606598</v>
      </c>
      <c r="D666" s="72">
        <f t="shared" si="146"/>
        <v>-2.3463725326735672</v>
      </c>
      <c r="E666" s="73">
        <f t="shared" si="139"/>
        <v>0</v>
      </c>
      <c r="F666" s="72">
        <f t="shared" si="140"/>
        <v>1535.5846021802049</v>
      </c>
      <c r="G666" s="72">
        <f t="shared" si="141"/>
        <v>67.648847329012824</v>
      </c>
      <c r="H666" s="72">
        <f t="shared" si="142"/>
        <v>103549.82020430194</v>
      </c>
      <c r="I666" s="72">
        <f t="shared" si="143"/>
        <v>18.185381749351123</v>
      </c>
      <c r="J666">
        <f t="shared" si="144"/>
        <v>0</v>
      </c>
    </row>
    <row r="667" spans="1:18" x14ac:dyDescent="0.25">
      <c r="A667">
        <v>19</v>
      </c>
      <c r="B667" s="73">
        <f t="shared" si="138"/>
        <v>5.3457895888013973E-2</v>
      </c>
      <c r="C667" s="72">
        <f t="shared" si="145"/>
        <v>-5.4592113762606598</v>
      </c>
      <c r="D667" s="72">
        <f t="shared" si="146"/>
        <v>-2.3463725326735672</v>
      </c>
      <c r="E667" s="73">
        <f t="shared" si="139"/>
        <v>0</v>
      </c>
      <c r="F667" s="72">
        <f t="shared" si="140"/>
        <v>1535.5846021802049</v>
      </c>
      <c r="G667" s="72">
        <f t="shared" si="141"/>
        <v>67.648847329012824</v>
      </c>
      <c r="H667" s="72">
        <f t="shared" si="142"/>
        <v>103549.82020430194</v>
      </c>
      <c r="I667" s="72">
        <f t="shared" si="143"/>
        <v>18.185381749351123</v>
      </c>
      <c r="J667">
        <f t="shared" si="144"/>
        <v>0</v>
      </c>
    </row>
    <row r="668" spans="1:18" x14ac:dyDescent="0.25">
      <c r="A668">
        <v>20</v>
      </c>
      <c r="B668" s="73">
        <f t="shared" si="138"/>
        <v>5.3457895888013973E-2</v>
      </c>
      <c r="C668" s="72">
        <f t="shared" si="145"/>
        <v>-5.4592113762606598</v>
      </c>
      <c r="D668" s="72">
        <f t="shared" si="146"/>
        <v>-2.3463725326735672</v>
      </c>
      <c r="E668" s="73">
        <f t="shared" si="139"/>
        <v>0</v>
      </c>
      <c r="F668" s="72">
        <f t="shared" si="140"/>
        <v>1535.5846021802049</v>
      </c>
      <c r="G668" s="72">
        <f t="shared" si="141"/>
        <v>67.648847329012824</v>
      </c>
      <c r="H668" s="72">
        <f t="shared" si="142"/>
        <v>103549.82020430194</v>
      </c>
      <c r="I668" s="72">
        <f t="shared" si="143"/>
        <v>18.185381749351123</v>
      </c>
      <c r="J668">
        <f t="shared" si="144"/>
        <v>0</v>
      </c>
    </row>
    <row r="669" spans="1:18" x14ac:dyDescent="0.25">
      <c r="A669">
        <v>21</v>
      </c>
      <c r="B669" s="73">
        <f t="shared" si="138"/>
        <v>5.3457895888013973E-2</v>
      </c>
      <c r="C669" s="72">
        <f t="shared" si="145"/>
        <v>-5.4592113762606598</v>
      </c>
      <c r="D669" s="72">
        <f t="shared" si="146"/>
        <v>-2.3463725326735672</v>
      </c>
      <c r="E669" s="73">
        <f t="shared" si="139"/>
        <v>0</v>
      </c>
      <c r="F669" s="72">
        <f t="shared" si="140"/>
        <v>1535.5846021802049</v>
      </c>
      <c r="G669" s="72">
        <f t="shared" si="141"/>
        <v>67.648847329012824</v>
      </c>
      <c r="H669" s="72">
        <f t="shared" si="142"/>
        <v>103549.82020430194</v>
      </c>
      <c r="I669" s="72">
        <f t="shared" si="143"/>
        <v>18.185381749351123</v>
      </c>
      <c r="J669">
        <f t="shared" si="144"/>
        <v>0</v>
      </c>
    </row>
    <row r="670" spans="1:18" x14ac:dyDescent="0.25">
      <c r="A670">
        <v>22</v>
      </c>
      <c r="B670" s="73">
        <f t="shared" si="138"/>
        <v>5.3457895888013973E-2</v>
      </c>
      <c r="C670" s="72">
        <f t="shared" si="145"/>
        <v>-2.4592113762606598</v>
      </c>
      <c r="D670" s="72">
        <f t="shared" si="146"/>
        <v>-2.2213725326735672</v>
      </c>
      <c r="E670" s="73">
        <f t="shared" si="139"/>
        <v>1</v>
      </c>
      <c r="F670" s="72">
        <f t="shared" si="140"/>
        <v>1535.5846021802049</v>
      </c>
      <c r="G670" s="72">
        <f t="shared" si="141"/>
        <v>67.648847329012824</v>
      </c>
      <c r="H670" s="72">
        <f t="shared" si="142"/>
        <v>103549.82020430194</v>
      </c>
      <c r="I670" s="72">
        <f t="shared" si="143"/>
        <v>18.185381749351123</v>
      </c>
      <c r="J670">
        <f t="shared" si="144"/>
        <v>-4.6822719309018148E-3</v>
      </c>
    </row>
    <row r="671" spans="1:18" x14ac:dyDescent="0.25">
      <c r="C671" s="72"/>
    </row>
    <row r="672" spans="1:18" x14ac:dyDescent="0.25">
      <c r="C672" s="72"/>
    </row>
    <row r="673" spans="3:3" x14ac:dyDescent="0.25">
      <c r="C673" s="72"/>
    </row>
    <row r="674" spans="3:3" x14ac:dyDescent="0.25">
      <c r="C674" s="72"/>
    </row>
    <row r="675" spans="3:3" x14ac:dyDescent="0.25">
      <c r="C675" s="72"/>
    </row>
  </sheetData>
  <mergeCells count="16">
    <mergeCell ref="A593:A632"/>
    <mergeCell ref="B638:G638"/>
    <mergeCell ref="B640:G640"/>
    <mergeCell ref="K208:M208"/>
    <mergeCell ref="N208:P208"/>
    <mergeCell ref="K224:M224"/>
    <mergeCell ref="N224:P224"/>
    <mergeCell ref="G332:I332"/>
    <mergeCell ref="J332:M332"/>
    <mergeCell ref="A103:E103"/>
    <mergeCell ref="G103:K103"/>
    <mergeCell ref="M103:O103"/>
    <mergeCell ref="A185:C185"/>
    <mergeCell ref="E185:G185"/>
    <mergeCell ref="I185:K185"/>
    <mergeCell ref="M185:O185"/>
  </mergeCells>
  <conditionalFormatting sqref="J649:J670">
    <cfRule type="dataBar" priority="2">
      <dataBar>
        <cfvo type="min"/>
        <cfvo type="max"/>
        <color rgb="FF63C384"/>
      </dataBar>
    </cfRule>
  </conditionalFormatting>
  <conditionalFormatting sqref="L657:M657">
    <cfRule type="dataBar" priority="1">
      <dataBar>
        <cfvo type="min"/>
        <cfvo type="max"/>
        <color rgb="FF63C384"/>
      </dataBar>
    </cfRule>
  </conditionalFormatting>
  <hyperlinks>
    <hyperlink ref="BG106" r:id="rId1"/>
    <hyperlink ref="BG107" r:id="rId2"/>
    <hyperlink ref="AA105" r:id="rId3"/>
    <hyperlink ref="AA111" r:id="rId4"/>
  </hyperlinks>
  <pageMargins left="0.25" right="0.25" top="0.75" bottom="0.75" header="0.3" footer="0.3"/>
  <pageSetup orientation="portrait" horizontalDpi="4294967292" verticalDpi="4294967292" r:id="rId5"/>
  <drawing r:id="rId6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AQ59"/>
  <sheetViews>
    <sheetView zoomScale="70" zoomScaleNormal="70" workbookViewId="0">
      <selection activeCell="L41" sqref="L41"/>
    </sheetView>
  </sheetViews>
  <sheetFormatPr defaultRowHeight="15" x14ac:dyDescent="0.25"/>
  <cols>
    <col min="2" max="2" width="16.42578125" bestFit="1" customWidth="1"/>
    <col min="3" max="3" width="21" bestFit="1" customWidth="1"/>
    <col min="4" max="4" width="25.140625" bestFit="1" customWidth="1"/>
    <col min="30" max="30" width="13.5703125" customWidth="1"/>
    <col min="37" max="37" width="16.28515625" customWidth="1"/>
  </cols>
  <sheetData>
    <row r="1" spans="1:43" x14ac:dyDescent="0.25">
      <c r="C1" t="s">
        <v>1821</v>
      </c>
      <c r="E1" t="s">
        <v>723</v>
      </c>
      <c r="J1">
        <v>39.370100000000001</v>
      </c>
      <c r="K1" t="s">
        <v>701</v>
      </c>
      <c r="L1" t="s">
        <v>1822</v>
      </c>
      <c r="M1">
        <v>1</v>
      </c>
      <c r="N1" t="s">
        <v>1823</v>
      </c>
      <c r="AD1" t="s">
        <v>2112</v>
      </c>
      <c r="AE1" t="s">
        <v>2113</v>
      </c>
      <c r="AJ1">
        <f>Wing!F2</f>
        <v>0</v>
      </c>
      <c r="AK1">
        <f>Wing!G2</f>
        <v>0</v>
      </c>
      <c r="AL1">
        <f>Wing!H2</f>
        <v>0</v>
      </c>
      <c r="AM1">
        <f>Wing!I2</f>
        <v>0</v>
      </c>
      <c r="AN1">
        <f>Wing!J2</f>
        <v>0</v>
      </c>
    </row>
    <row r="2" spans="1:43" x14ac:dyDescent="0.25">
      <c r="C2" t="s">
        <v>1824</v>
      </c>
      <c r="F2">
        <v>3.9199999999999999E-2</v>
      </c>
      <c r="G2" t="s">
        <v>1823</v>
      </c>
      <c r="J2">
        <v>1</v>
      </c>
      <c r="K2" t="s">
        <v>701</v>
      </c>
      <c r="L2" t="s">
        <v>1822</v>
      </c>
      <c r="M2">
        <v>2.54</v>
      </c>
      <c r="N2" t="s">
        <v>1847</v>
      </c>
      <c r="AD2" t="s">
        <v>2114</v>
      </c>
      <c r="AE2" s="327" t="s">
        <v>2115</v>
      </c>
      <c r="AJ2">
        <f>Wing!F3</f>
        <v>0</v>
      </c>
      <c r="AK2" t="str">
        <f>Wing!G3</f>
        <v>FUSELAGE</v>
      </c>
      <c r="AL2" t="str">
        <f>Wing!H3</f>
        <v/>
      </c>
      <c r="AM2">
        <f>Wing!I3</f>
        <v>0</v>
      </c>
      <c r="AN2">
        <f>Wing!J3</f>
        <v>0</v>
      </c>
    </row>
    <row r="3" spans="1:43" x14ac:dyDescent="0.25">
      <c r="C3" t="s">
        <v>1825</v>
      </c>
      <c r="D3">
        <v>0.25</v>
      </c>
      <c r="E3" t="s">
        <v>701</v>
      </c>
      <c r="F3">
        <f>D3/J1</f>
        <v>6.3499965710018518E-3</v>
      </c>
      <c r="G3" t="s">
        <v>1847</v>
      </c>
      <c r="AD3" t="s">
        <v>2117</v>
      </c>
      <c r="AE3" s="329" t="s">
        <v>2130</v>
      </c>
      <c r="AJ3">
        <f>Wing!F4</f>
        <v>0</v>
      </c>
      <c r="AK3" t="str">
        <f>Wing!G4</f>
        <v xml:space="preserve">Height: </v>
      </c>
      <c r="AL3">
        <f>Wing!H4</f>
        <v>0.15240000000000001</v>
      </c>
      <c r="AM3">
        <f>Wing!I4</f>
        <v>0</v>
      </c>
      <c r="AN3">
        <f>Wing!J4</f>
        <v>0</v>
      </c>
    </row>
    <row r="4" spans="1:43" x14ac:dyDescent="0.25">
      <c r="AD4" t="s">
        <v>2118</v>
      </c>
      <c r="AE4" s="330" t="s">
        <v>2119</v>
      </c>
      <c r="AJ4">
        <f>Wing!F5</f>
        <v>0</v>
      </c>
      <c r="AK4" t="str">
        <f>Wing!G5</f>
        <v xml:space="preserve">Width: </v>
      </c>
      <c r="AL4">
        <f>Wing!H5</f>
        <v>0.12</v>
      </c>
      <c r="AM4">
        <f>Wing!I5</f>
        <v>0</v>
      </c>
      <c r="AN4">
        <f>Wing!J5</f>
        <v>0</v>
      </c>
    </row>
    <row r="5" spans="1:43" x14ac:dyDescent="0.25">
      <c r="F5">
        <f>F3+F2/2</f>
        <v>2.5949996571001853E-2</v>
      </c>
      <c r="AD5" t="s">
        <v>2120</v>
      </c>
      <c r="AE5" s="331" t="s">
        <v>2121</v>
      </c>
      <c r="AJ5">
        <f>Wing!F6</f>
        <v>0</v>
      </c>
      <c r="AK5" t="str">
        <f>Wing!G6</f>
        <v xml:space="preserve">L_nose: </v>
      </c>
      <c r="AL5">
        <f>Wing!H6</f>
        <v>0.223389068442015</v>
      </c>
      <c r="AM5">
        <f>Wing!I6</f>
        <v>0</v>
      </c>
      <c r="AN5">
        <f>Wing!J6</f>
        <v>0</v>
      </c>
    </row>
    <row r="6" spans="1:43" x14ac:dyDescent="0.25">
      <c r="AD6" t="s">
        <v>2122</v>
      </c>
      <c r="AE6" s="68" t="s">
        <v>2123</v>
      </c>
      <c r="AJ6">
        <f>Wing!F7</f>
        <v>0</v>
      </c>
      <c r="AK6" t="str">
        <f>Wing!G7</f>
        <v xml:space="preserve">L_body: </v>
      </c>
      <c r="AL6">
        <f>Wing!H7</f>
        <v>0.72</v>
      </c>
      <c r="AM6">
        <f>Wing!I7</f>
        <v>0</v>
      </c>
      <c r="AN6">
        <f>Wing!J7</f>
        <v>0</v>
      </c>
    </row>
    <row r="7" spans="1:43" x14ac:dyDescent="0.25">
      <c r="AD7" t="s">
        <v>2125</v>
      </c>
      <c r="AE7" s="328" t="s">
        <v>2124</v>
      </c>
      <c r="AJ7">
        <f>Wing!F8</f>
        <v>0</v>
      </c>
      <c r="AK7" t="str">
        <f>Wing!G8</f>
        <v xml:space="preserve">L_rear: </v>
      </c>
      <c r="AL7">
        <f>Wing!H8</f>
        <v>0.55579956885405424</v>
      </c>
      <c r="AM7">
        <f>Wing!I8</f>
        <v>0</v>
      </c>
      <c r="AN7">
        <f>Wing!J8</f>
        <v>0</v>
      </c>
    </row>
    <row r="8" spans="1:43" x14ac:dyDescent="0.25">
      <c r="A8" t="s">
        <v>2111</v>
      </c>
      <c r="G8">
        <f>0.25*2.54</f>
        <v>0.63500000000000001</v>
      </c>
      <c r="AD8" t="s">
        <v>2126</v>
      </c>
      <c r="AE8" s="332" t="s">
        <v>2127</v>
      </c>
      <c r="AJ8">
        <f>Wing!F9</f>
        <v>0</v>
      </c>
      <c r="AK8" t="str">
        <f>Wing!G9</f>
        <v xml:space="preserve">L_total: </v>
      </c>
      <c r="AL8">
        <f>Wing!H9</f>
        <v>1.4991886372960692</v>
      </c>
      <c r="AM8">
        <f>Wing!I9</f>
        <v>0</v>
      </c>
      <c r="AN8">
        <f>Wing!J9</f>
        <v>0</v>
      </c>
    </row>
    <row r="9" spans="1:43" x14ac:dyDescent="0.25">
      <c r="AD9" t="s">
        <v>2128</v>
      </c>
      <c r="AE9" s="333" t="s">
        <v>2129</v>
      </c>
      <c r="AJ9">
        <f>Wing!F10</f>
        <v>0</v>
      </c>
      <c r="AK9" t="str">
        <f>Wing!G10</f>
        <v xml:space="preserve">Angle: </v>
      </c>
      <c r="AL9">
        <f>Wing!H10</f>
        <v>15</v>
      </c>
      <c r="AM9">
        <f>Wing!I10</f>
        <v>0</v>
      </c>
      <c r="AN9">
        <f>Wing!J10</f>
        <v>0</v>
      </c>
    </row>
    <row r="10" spans="1:43" x14ac:dyDescent="0.25">
      <c r="AD10" t="s">
        <v>733</v>
      </c>
      <c r="AE10" s="69" t="s">
        <v>2116</v>
      </c>
      <c r="AJ10">
        <f>Wing!F11</f>
        <v>0</v>
      </c>
      <c r="AK10" t="str">
        <f>Wing!G11</f>
        <v/>
      </c>
      <c r="AL10" t="str">
        <f>Wing!H11</f>
        <v/>
      </c>
      <c r="AM10">
        <f>Wing!I11</f>
        <v>0</v>
      </c>
      <c r="AN10">
        <f>Wing!J11</f>
        <v>0</v>
      </c>
      <c r="AQ10" t="e">
        <f>AQ12-2.54</f>
        <v>#VALUE!</v>
      </c>
    </row>
    <row r="11" spans="1:43" x14ac:dyDescent="0.25">
      <c r="AJ11">
        <f>Wing!F12</f>
        <v>0</v>
      </c>
      <c r="AK11" t="str">
        <f>Wing!G12</f>
        <v/>
      </c>
      <c r="AL11" t="str">
        <f>Wing!H12</f>
        <v/>
      </c>
      <c r="AM11">
        <f>Wing!I12</f>
        <v>0</v>
      </c>
      <c r="AN11">
        <f>Wing!J12</f>
        <v>0</v>
      </c>
    </row>
    <row r="12" spans="1:43" x14ac:dyDescent="0.25">
      <c r="AJ12">
        <f>Wing!F13</f>
        <v>0</v>
      </c>
      <c r="AK12" t="str">
        <f>Wing!G13</f>
        <v>WING</v>
      </c>
      <c r="AL12" t="str">
        <f>Wing!H13</f>
        <v/>
      </c>
      <c r="AM12">
        <f>Wing!I13</f>
        <v>0</v>
      </c>
      <c r="AN12">
        <f>Wing!J13</f>
        <v>0</v>
      </c>
      <c r="AQ12" t="e">
        <f>AL12-AL4</f>
        <v>#VALUE!</v>
      </c>
    </row>
    <row r="13" spans="1:43" x14ac:dyDescent="0.25">
      <c r="AJ13">
        <f>Wing!F14</f>
        <v>0</v>
      </c>
      <c r="AK13" t="str">
        <f>Wing!G14</f>
        <v xml:space="preserve">x_LE: </v>
      </c>
      <c r="AL13">
        <f>Wing!H14</f>
        <v>0.43409086391783164</v>
      </c>
      <c r="AM13">
        <f>Wing!I14</f>
        <v>0</v>
      </c>
      <c r="AN13">
        <f>Wing!J14</f>
        <v>0</v>
      </c>
    </row>
    <row r="14" spans="1:43" x14ac:dyDescent="0.25">
      <c r="AJ14">
        <f>Wing!F15</f>
        <v>0</v>
      </c>
      <c r="AK14" t="str">
        <f>Wing!G15</f>
        <v xml:space="preserve">x_AC: </v>
      </c>
      <c r="AL14">
        <f>Wing!H15</f>
        <v>0.50198239169560943</v>
      </c>
      <c r="AM14">
        <f>Wing!I15</f>
        <v>0</v>
      </c>
      <c r="AN14">
        <f>Wing!J15</f>
        <v>0</v>
      </c>
      <c r="AQ14" t="e">
        <f>AQ12-AL5-2.54</f>
        <v>#VALUE!</v>
      </c>
    </row>
    <row r="15" spans="1:43" x14ac:dyDescent="0.25">
      <c r="AJ15">
        <f>Wing!F16</f>
        <v>0</v>
      </c>
      <c r="AK15" t="str">
        <f>Wing!G16</f>
        <v xml:space="preserve">Chord root: </v>
      </c>
      <c r="AL15">
        <f>Wing!H16</f>
        <v>0.27156611111111101</v>
      </c>
      <c r="AM15">
        <f>Wing!I16</f>
        <v>0</v>
      </c>
      <c r="AN15">
        <f>Wing!J16</f>
        <v>0</v>
      </c>
    </row>
    <row r="16" spans="1:43" x14ac:dyDescent="0.25">
      <c r="AJ16">
        <f>Wing!F17</f>
        <v>0</v>
      </c>
      <c r="AK16" t="str">
        <f>Wing!G17</f>
        <v xml:space="preserve">Span: </v>
      </c>
      <c r="AL16">
        <f>Wing!H17</f>
        <v>1.9009627777777778</v>
      </c>
      <c r="AM16">
        <f>Wing!I17</f>
        <v>0</v>
      </c>
      <c r="AN16">
        <f>Wing!J17</f>
        <v>0</v>
      </c>
    </row>
    <row r="17" spans="36:40" x14ac:dyDescent="0.25">
      <c r="AJ17">
        <f>Wing!F18</f>
        <v>0</v>
      </c>
      <c r="AK17" t="str">
        <f>Wing!G18</f>
        <v xml:space="preserve">Airfoil: </v>
      </c>
      <c r="AL17" t="str">
        <f>Wing!H18</f>
        <v>SD7062</v>
      </c>
      <c r="AM17">
        <f>Wing!I18</f>
        <v>0</v>
      </c>
      <c r="AN17">
        <f>Wing!J18</f>
        <v>0</v>
      </c>
    </row>
    <row r="18" spans="36:40" x14ac:dyDescent="0.25">
      <c r="AJ18">
        <f>Wing!F19</f>
        <v>0</v>
      </c>
      <c r="AK18" t="str">
        <f>Wing!G19</f>
        <v xml:space="preserve">Aileron_span_start: </v>
      </c>
      <c r="AL18">
        <f>Wing!H19</f>
        <v>0.56917017319777063</v>
      </c>
      <c r="AM18">
        <f>Wing!I19</f>
        <v>0</v>
      </c>
      <c r="AN18">
        <f>Wing!J19</f>
        <v>0</v>
      </c>
    </row>
    <row r="19" spans="36:40" x14ac:dyDescent="0.25">
      <c r="AJ19">
        <f>Wing!F20</f>
        <v>0</v>
      </c>
      <c r="AK19" t="str">
        <f>Wing!G20</f>
        <v xml:space="preserve">Aileron_span_end: </v>
      </c>
      <c r="AL19">
        <f>Wing!H20</f>
        <v>0.90295731944444424</v>
      </c>
      <c r="AM19">
        <f>Wing!I20</f>
        <v>0</v>
      </c>
      <c r="AN19">
        <f>Wing!J20</f>
        <v>0</v>
      </c>
    </row>
    <row r="20" spans="36:40" x14ac:dyDescent="0.25">
      <c r="AJ20">
        <f>Wing!F21</f>
        <v>0</v>
      </c>
      <c r="AK20" t="str">
        <f>Wing!G21</f>
        <v xml:space="preserve">Aileron_chord_ratio: </v>
      </c>
      <c r="AL20">
        <f>Wing!H21</f>
        <v>0.25</v>
      </c>
      <c r="AM20">
        <f>Wing!I21</f>
        <v>0</v>
      </c>
      <c r="AN20">
        <f>Wing!J21</f>
        <v>0</v>
      </c>
    </row>
    <row r="21" spans="36:40" x14ac:dyDescent="0.25">
      <c r="AJ21">
        <f>Wing!F22</f>
        <v>0</v>
      </c>
      <c r="AK21" t="str">
        <f>Wing!G22</f>
        <v xml:space="preserve">Aileron_angle_max: </v>
      </c>
      <c r="AL21">
        <f>Wing!H22</f>
        <v>25</v>
      </c>
      <c r="AM21">
        <f>Wing!I22</f>
        <v>0</v>
      </c>
      <c r="AN21">
        <f>Wing!J22</f>
        <v>0</v>
      </c>
    </row>
    <row r="22" spans="36:40" x14ac:dyDescent="0.25">
      <c r="AJ22">
        <f>Wing!F23</f>
        <v>0</v>
      </c>
      <c r="AK22" t="str">
        <f>Wing!G23</f>
        <v xml:space="preserve">Aileron_angle_min: </v>
      </c>
      <c r="AL22">
        <f>Wing!H23</f>
        <v>-25</v>
      </c>
      <c r="AM22">
        <f>Wing!I23</f>
        <v>0</v>
      </c>
      <c r="AN22">
        <f>Wing!J23</f>
        <v>0</v>
      </c>
    </row>
    <row r="23" spans="36:40" x14ac:dyDescent="0.25">
      <c r="AJ23">
        <f>Wing!F24</f>
        <v>0</v>
      </c>
      <c r="AK23" t="str">
        <f>Wing!G24</f>
        <v/>
      </c>
      <c r="AL23" t="str">
        <f>Wing!H24</f>
        <v/>
      </c>
      <c r="AM23">
        <f>Wing!I24</f>
        <v>0</v>
      </c>
      <c r="AN23">
        <f>Wing!J24</f>
        <v>0</v>
      </c>
    </row>
    <row r="24" spans="36:40" x14ac:dyDescent="0.25">
      <c r="AJ24">
        <f>Wing!F25</f>
        <v>0</v>
      </c>
      <c r="AK24" t="str">
        <f>Wing!G25</f>
        <v/>
      </c>
      <c r="AL24" t="str">
        <f>Wing!H25</f>
        <v/>
      </c>
      <c r="AM24">
        <f>Wing!I25</f>
        <v>0</v>
      </c>
      <c r="AN24">
        <f>Wing!J25</f>
        <v>0</v>
      </c>
    </row>
    <row r="25" spans="36:40" x14ac:dyDescent="0.25">
      <c r="AJ25">
        <f>Wing!F26</f>
        <v>0</v>
      </c>
      <c r="AK25" t="str">
        <f>Wing!G26</f>
        <v>HSTAB</v>
      </c>
      <c r="AL25" t="str">
        <f>Wing!H26</f>
        <v/>
      </c>
      <c r="AM25">
        <f>Wing!I26</f>
        <v>0</v>
      </c>
      <c r="AN25">
        <f>Wing!J26</f>
        <v>0</v>
      </c>
    </row>
    <row r="26" spans="36:40" x14ac:dyDescent="0.25">
      <c r="AJ26">
        <f>Wing!F27</f>
        <v>0</v>
      </c>
      <c r="AK26" t="str">
        <f>Wing!G27</f>
        <v xml:space="preserve">x_LE: </v>
      </c>
      <c r="AL26">
        <f>Wing!H27</f>
        <v>1.2128210156327217</v>
      </c>
      <c r="AM26">
        <f>Wing!I27</f>
        <v>0</v>
      </c>
      <c r="AN26">
        <f>Wing!J27</f>
        <v>0</v>
      </c>
    </row>
    <row r="27" spans="36:40" x14ac:dyDescent="0.25">
      <c r="AJ27">
        <f>Wing!F28</f>
        <v>0</v>
      </c>
      <c r="AK27" t="str">
        <f>Wing!G28</f>
        <v xml:space="preserve">x_AC: </v>
      </c>
      <c r="AL27">
        <f>Wing!H28</f>
        <v>1.248702621421125</v>
      </c>
      <c r="AM27">
        <f>Wing!I28</f>
        <v>0</v>
      </c>
      <c r="AN27">
        <f>Wing!J28</f>
        <v>0</v>
      </c>
    </row>
    <row r="28" spans="36:40" x14ac:dyDescent="0.25">
      <c r="AJ28">
        <f>Wing!F29</f>
        <v>0</v>
      </c>
      <c r="AK28" t="str">
        <f>Wing!G29</f>
        <v xml:space="preserve">z_AC: </v>
      </c>
      <c r="AL28">
        <f>Wing!H29</f>
        <v>2.3800000000000002E-2</v>
      </c>
      <c r="AM28">
        <f>Wing!I29</f>
        <v>0</v>
      </c>
      <c r="AN28">
        <f>Wing!J29</f>
        <v>0</v>
      </c>
    </row>
    <row r="29" spans="36:40" x14ac:dyDescent="0.25">
      <c r="AJ29">
        <f>Wing!F30</f>
        <v>0</v>
      </c>
      <c r="AK29" t="str">
        <f>Wing!G30</f>
        <v xml:space="preserve">Chord root: </v>
      </c>
      <c r="AL29">
        <f>Wing!H30</f>
        <v>0.14352642315361319</v>
      </c>
      <c r="AM29">
        <f>Wing!I30</f>
        <v>0</v>
      </c>
      <c r="AN29">
        <f>Wing!J30</f>
        <v>0</v>
      </c>
    </row>
    <row r="30" spans="36:40" x14ac:dyDescent="0.25">
      <c r="AJ30">
        <f>Wing!F31</f>
        <v>0</v>
      </c>
      <c r="AK30" t="str">
        <f>Wing!G31</f>
        <v xml:space="preserve">Span: </v>
      </c>
      <c r="AL30">
        <f>Wing!H31</f>
        <v>0.66978997471686152</v>
      </c>
      <c r="AM30">
        <f>Wing!I31</f>
        <v>0</v>
      </c>
      <c r="AN30">
        <f>Wing!J31</f>
        <v>0</v>
      </c>
    </row>
    <row r="31" spans="36:40" x14ac:dyDescent="0.25">
      <c r="AJ31">
        <f>Wing!F32</f>
        <v>0</v>
      </c>
      <c r="AK31" t="str">
        <f>Wing!G32</f>
        <v xml:space="preserve">Airfoil: </v>
      </c>
      <c r="AL31" t="str">
        <f>Wing!H32</f>
        <v>NACA0006</v>
      </c>
      <c r="AM31">
        <f>Wing!I32</f>
        <v>0</v>
      </c>
      <c r="AN31">
        <f>Wing!J32</f>
        <v>0</v>
      </c>
    </row>
    <row r="32" spans="36:40" x14ac:dyDescent="0.25">
      <c r="AJ32">
        <f>Wing!F33</f>
        <v>0</v>
      </c>
      <c r="AK32" t="str">
        <f>Wing!G33</f>
        <v xml:space="preserve">Incidence: </v>
      </c>
      <c r="AL32">
        <f>Wing!H33</f>
        <v>-0.58393031865523626</v>
      </c>
      <c r="AM32">
        <f>Wing!I33</f>
        <v>0</v>
      </c>
      <c r="AN32">
        <f>Wing!J33</f>
        <v>0</v>
      </c>
    </row>
    <row r="33" spans="1:40" x14ac:dyDescent="0.25">
      <c r="AJ33">
        <f>Wing!F34</f>
        <v>0</v>
      </c>
      <c r="AK33" t="str">
        <f>Wing!G34</f>
        <v xml:space="preserve">Elevator_span_start: </v>
      </c>
      <c r="AL33">
        <f>Wing!H34</f>
        <v>0</v>
      </c>
      <c r="AM33">
        <f>Wing!I34</f>
        <v>0</v>
      </c>
      <c r="AN33">
        <f>Wing!J34</f>
        <v>0</v>
      </c>
    </row>
    <row r="34" spans="1:40" x14ac:dyDescent="0.25">
      <c r="AJ34">
        <f>Wing!F35</f>
        <v>0</v>
      </c>
      <c r="AK34" t="str">
        <f>Wing!G35</f>
        <v xml:space="preserve">Elevator_span_end: </v>
      </c>
      <c r="AL34">
        <f>Wing!H35</f>
        <v>1</v>
      </c>
      <c r="AM34">
        <f>Wing!I35</f>
        <v>0</v>
      </c>
      <c r="AN34">
        <f>Wing!J35</f>
        <v>0</v>
      </c>
    </row>
    <row r="35" spans="1:40" x14ac:dyDescent="0.25">
      <c r="AJ35">
        <f>Wing!F36</f>
        <v>0</v>
      </c>
      <c r="AK35" t="str">
        <f>Wing!G36</f>
        <v xml:space="preserve">Elevator_choord_ratio: </v>
      </c>
      <c r="AL35">
        <f>Wing!H36</f>
        <v>0.20776646122007825</v>
      </c>
      <c r="AM35">
        <f>Wing!I36</f>
        <v>0</v>
      </c>
      <c r="AN35">
        <f>Wing!J36</f>
        <v>0</v>
      </c>
    </row>
    <row r="36" spans="1:40" x14ac:dyDescent="0.25">
      <c r="AJ36">
        <f>Wing!F37</f>
        <v>0</v>
      </c>
      <c r="AK36" t="str">
        <f>Wing!G37</f>
        <v xml:space="preserve">Elevator_angle_maxup: </v>
      </c>
      <c r="AL36">
        <f>Wing!H37</f>
        <v>-25</v>
      </c>
      <c r="AM36">
        <f>Wing!I37</f>
        <v>0</v>
      </c>
      <c r="AN36">
        <f>Wing!J37</f>
        <v>0</v>
      </c>
    </row>
    <row r="37" spans="1:40" x14ac:dyDescent="0.25">
      <c r="AJ37">
        <f>Wing!F38</f>
        <v>0</v>
      </c>
      <c r="AK37" t="str">
        <f>Wing!G38</f>
        <v xml:space="preserve">Elevator_angle_maxdown: </v>
      </c>
      <c r="AL37">
        <f>Wing!H38</f>
        <v>2</v>
      </c>
      <c r="AM37">
        <f>Wing!I38</f>
        <v>0</v>
      </c>
      <c r="AN37">
        <f>Wing!J38</f>
        <v>0</v>
      </c>
    </row>
    <row r="38" spans="1:40" x14ac:dyDescent="0.25">
      <c r="AJ38">
        <f>Wing!F39</f>
        <v>0</v>
      </c>
      <c r="AK38" t="str">
        <f>Wing!G39</f>
        <v/>
      </c>
      <c r="AL38" t="str">
        <f>Wing!H39</f>
        <v/>
      </c>
      <c r="AM38">
        <f>Wing!I39</f>
        <v>0</v>
      </c>
      <c r="AN38">
        <f>Wing!J39</f>
        <v>0</v>
      </c>
    </row>
    <row r="39" spans="1:40" x14ac:dyDescent="0.25">
      <c r="AJ39">
        <f>Wing!F40</f>
        <v>0</v>
      </c>
      <c r="AK39" t="str">
        <f>Wing!G40</f>
        <v/>
      </c>
      <c r="AL39" t="str">
        <f>Wing!H40</f>
        <v/>
      </c>
      <c r="AM39">
        <f>Wing!I40</f>
        <v>0</v>
      </c>
      <c r="AN39">
        <f>Wing!J40</f>
        <v>0</v>
      </c>
    </row>
    <row r="40" spans="1:40" x14ac:dyDescent="0.25">
      <c r="AJ40">
        <f>Wing!F41</f>
        <v>0</v>
      </c>
      <c r="AK40" t="str">
        <f>Wing!G41</f>
        <v>VSTAB</v>
      </c>
      <c r="AL40" t="str">
        <f>Wing!H41</f>
        <v/>
      </c>
      <c r="AM40">
        <f>Wing!I41</f>
        <v>0</v>
      </c>
      <c r="AN40">
        <f>Wing!J41</f>
        <v>0</v>
      </c>
    </row>
    <row r="41" spans="1:40" x14ac:dyDescent="0.25">
      <c r="AJ41">
        <f>Wing!F42</f>
        <v>0</v>
      </c>
      <c r="AK41" t="str">
        <f>Wing!G42</f>
        <v xml:space="preserve">x_LE: </v>
      </c>
      <c r="AL41">
        <f>Wing!H42</f>
        <v>1.2112602235682557</v>
      </c>
      <c r="AM41">
        <f>Wing!I42</f>
        <v>0</v>
      </c>
      <c r="AN41">
        <f>Wing!J42</f>
        <v>0</v>
      </c>
    </row>
    <row r="42" spans="1:40" x14ac:dyDescent="0.25">
      <c r="AJ42">
        <f>Wing!F43</f>
        <v>0</v>
      </c>
      <c r="AK42" t="str">
        <f>Wing!G43</f>
        <v xml:space="preserve">x_AC: </v>
      </c>
      <c r="AL42">
        <f>Wing!H43</f>
        <v>1.248702621421125</v>
      </c>
      <c r="AM42">
        <f>Wing!I43</f>
        <v>0</v>
      </c>
      <c r="AN42">
        <f>Wing!J43</f>
        <v>0</v>
      </c>
    </row>
    <row r="43" spans="1:40" x14ac:dyDescent="0.25">
      <c r="AJ43">
        <f>Wing!F44</f>
        <v>0</v>
      </c>
      <c r="AK43" t="str">
        <f>Wing!G44</f>
        <v xml:space="preserve">z_AC: </v>
      </c>
      <c r="AL43">
        <f>Wing!H44</f>
        <v>2.3800000000000002E-2</v>
      </c>
      <c r="AM43">
        <f>Wing!I44</f>
        <v>0</v>
      </c>
      <c r="AN43">
        <f>Wing!J44</f>
        <v>0</v>
      </c>
    </row>
    <row r="44" spans="1:40" x14ac:dyDescent="0.25">
      <c r="AJ44">
        <f>Wing!F45</f>
        <v>0</v>
      </c>
      <c r="AK44" t="str">
        <f>Wing!G45</f>
        <v xml:space="preserve">Chord root: </v>
      </c>
      <c r="AL44">
        <f>Wing!H45</f>
        <v>0.14976959141147678</v>
      </c>
      <c r="AM44">
        <f>Wing!I45</f>
        <v>0</v>
      </c>
      <c r="AN44">
        <f>Wing!J45</f>
        <v>0</v>
      </c>
    </row>
    <row r="45" spans="1:40" x14ac:dyDescent="0.25">
      <c r="A45" s="7" t="s">
        <v>2201</v>
      </c>
      <c r="B45" s="7"/>
      <c r="C45" s="7"/>
      <c r="D45" s="7"/>
      <c r="E45" s="7"/>
      <c r="F45" s="7"/>
      <c r="AJ45">
        <f>Wing!F46</f>
        <v>0</v>
      </c>
      <c r="AK45" t="str">
        <f>Wing!G46</f>
        <v xml:space="preserve">Chord tip: </v>
      </c>
      <c r="AL45">
        <f>Wing!H46</f>
        <v>0.11981567312918143</v>
      </c>
      <c r="AM45">
        <f>Wing!I46</f>
        <v>0</v>
      </c>
      <c r="AN45">
        <f>Wing!J46</f>
        <v>0</v>
      </c>
    </row>
    <row r="46" spans="1:40" x14ac:dyDescent="0.25">
      <c r="A46" s="7"/>
      <c r="B46" s="7" t="s">
        <v>2200</v>
      </c>
      <c r="C46" s="7" t="s">
        <v>723</v>
      </c>
      <c r="D46" s="7" t="s">
        <v>2199</v>
      </c>
      <c r="E46" s="7"/>
      <c r="F46" s="7"/>
      <c r="AJ46">
        <f>Wing!F47</f>
        <v>0</v>
      </c>
      <c r="AK46" t="str">
        <f>Wing!G47</f>
        <v xml:space="preserve">Span: </v>
      </c>
      <c r="AL46">
        <f>Wing!H47</f>
        <v>0.22465438711721517</v>
      </c>
      <c r="AM46">
        <f>Wing!I47</f>
        <v>0</v>
      </c>
      <c r="AN46">
        <f>Wing!J47</f>
        <v>0</v>
      </c>
    </row>
    <row r="47" spans="1:40" x14ac:dyDescent="0.25">
      <c r="A47" s="7" t="s">
        <v>1837</v>
      </c>
      <c r="B47" s="7">
        <v>50.970999999999997</v>
      </c>
      <c r="C47" s="7" t="s">
        <v>1847</v>
      </c>
      <c r="D47" s="7" t="s">
        <v>2202</v>
      </c>
      <c r="E47" s="7" t="s">
        <v>2197</v>
      </c>
      <c r="F47" s="7"/>
      <c r="AJ47">
        <f>Wing!F48</f>
        <v>0</v>
      </c>
      <c r="AK47" t="str">
        <f>Wing!G48</f>
        <v xml:space="preserve">Airfoil: </v>
      </c>
      <c r="AL47" t="str">
        <f>Wing!H48</f>
        <v>NACA0006</v>
      </c>
      <c r="AM47">
        <f>Wing!I48</f>
        <v>0</v>
      </c>
      <c r="AN47">
        <f>Wing!J48</f>
        <v>0</v>
      </c>
    </row>
    <row r="48" spans="1:40" x14ac:dyDescent="0.25">
      <c r="A48" s="7" t="s">
        <v>1838</v>
      </c>
      <c r="B48" s="7">
        <v>0</v>
      </c>
      <c r="C48" s="7" t="s">
        <v>1847</v>
      </c>
      <c r="D48" s="7" t="s">
        <v>2203</v>
      </c>
      <c r="E48" s="7"/>
      <c r="F48" s="7"/>
      <c r="AJ48">
        <f>Wing!F49</f>
        <v>0</v>
      </c>
      <c r="AK48" t="str">
        <f>Wing!G49</f>
        <v xml:space="preserve">Rudder_span_start: </v>
      </c>
      <c r="AL48">
        <f>Wing!H49</f>
        <v>0</v>
      </c>
      <c r="AM48">
        <f>Wing!I49</f>
        <v>0</v>
      </c>
      <c r="AN48">
        <f>Wing!J49</f>
        <v>0</v>
      </c>
    </row>
    <row r="49" spans="1:40" x14ac:dyDescent="0.25">
      <c r="A49" s="7" t="s">
        <v>1864</v>
      </c>
      <c r="B49" s="7">
        <v>9.6270000000000007</v>
      </c>
      <c r="C49" s="7" t="s">
        <v>1847</v>
      </c>
      <c r="D49" s="7" t="s">
        <v>2198</v>
      </c>
      <c r="E49" s="7" t="s">
        <v>2204</v>
      </c>
      <c r="F49" s="7"/>
      <c r="AJ49">
        <f>Wing!F50</f>
        <v>0</v>
      </c>
      <c r="AK49" t="str">
        <f>Wing!G50</f>
        <v xml:space="preserve">Rudder_span_end: </v>
      </c>
      <c r="AL49">
        <f>Wing!H50</f>
        <v>1</v>
      </c>
      <c r="AM49">
        <f>Wing!I50</f>
        <v>0</v>
      </c>
      <c r="AN49">
        <f>Wing!J50</f>
        <v>0</v>
      </c>
    </row>
    <row r="50" spans="1:40" x14ac:dyDescent="0.25">
      <c r="A50" s="7"/>
      <c r="B50" s="7"/>
      <c r="C50" s="7"/>
      <c r="D50" s="7"/>
      <c r="E50" s="7"/>
      <c r="F50" s="7"/>
      <c r="AJ50">
        <f>Wing!F51</f>
        <v>0</v>
      </c>
      <c r="AK50" t="str">
        <f>Wing!G51</f>
        <v xml:space="preserve">Rudder_choord_ratio: </v>
      </c>
      <c r="AL50">
        <f>Wing!H51</f>
        <v>0.25</v>
      </c>
      <c r="AM50">
        <f>Wing!I51</f>
        <v>0</v>
      </c>
      <c r="AN50">
        <f>Wing!J51</f>
        <v>0</v>
      </c>
    </row>
    <row r="51" spans="1:40" x14ac:dyDescent="0.25">
      <c r="A51" s="7"/>
      <c r="B51" s="7"/>
      <c r="C51" s="7"/>
      <c r="D51" s="7"/>
      <c r="E51" s="7"/>
      <c r="F51" s="7"/>
      <c r="AJ51">
        <f>Wing!F52</f>
        <v>0</v>
      </c>
      <c r="AK51" t="str">
        <f>Wing!G52</f>
        <v xml:space="preserve">Rudder_angle_maxup: </v>
      </c>
      <c r="AL51">
        <f>Wing!H52</f>
        <v>20</v>
      </c>
      <c r="AM51">
        <f>Wing!I52</f>
        <v>0</v>
      </c>
      <c r="AN51">
        <f>Wing!J52</f>
        <v>0</v>
      </c>
    </row>
    <row r="52" spans="1:40" x14ac:dyDescent="0.25">
      <c r="A52" s="7" t="s">
        <v>2213</v>
      </c>
      <c r="B52" s="7"/>
      <c r="C52" s="7" t="s">
        <v>2205</v>
      </c>
      <c r="D52" s="7"/>
      <c r="E52" s="7"/>
      <c r="F52" s="7"/>
      <c r="AJ52">
        <f>Wing!F53</f>
        <v>0</v>
      </c>
      <c r="AK52" t="str">
        <f>Wing!G53</f>
        <v xml:space="preserve">Rudder_angle_maxdown: </v>
      </c>
      <c r="AL52">
        <f>Wing!H53</f>
        <v>-20</v>
      </c>
      <c r="AM52">
        <f>Wing!I53</f>
        <v>0</v>
      </c>
      <c r="AN52">
        <f>Wing!J53</f>
        <v>0</v>
      </c>
    </row>
    <row r="53" spans="1:40" x14ac:dyDescent="0.25">
      <c r="A53" s="7" t="s">
        <v>2206</v>
      </c>
      <c r="B53" s="7"/>
      <c r="C53" s="7" t="s">
        <v>2211</v>
      </c>
      <c r="D53" s="7"/>
      <c r="E53" s="7"/>
      <c r="F53" s="7"/>
      <c r="AJ53">
        <f>Wing!F54</f>
        <v>0</v>
      </c>
      <c r="AK53" t="str">
        <f>Wing!G54</f>
        <v/>
      </c>
      <c r="AL53" t="str">
        <f>Wing!H54</f>
        <v/>
      </c>
      <c r="AM53">
        <f>Wing!I54</f>
        <v>0</v>
      </c>
      <c r="AN53">
        <f>Wing!J54</f>
        <v>0</v>
      </c>
    </row>
    <row r="54" spans="1:40" x14ac:dyDescent="0.25">
      <c r="A54" s="7" t="s">
        <v>2207</v>
      </c>
      <c r="B54" s="7"/>
      <c r="C54" s="7" t="s">
        <v>2210</v>
      </c>
      <c r="D54" s="7"/>
      <c r="E54" s="7"/>
      <c r="F54" s="7"/>
      <c r="AJ54">
        <f>Wing!F55</f>
        <v>0</v>
      </c>
      <c r="AK54" t="str">
        <f>Wing!G55</f>
        <v/>
      </c>
      <c r="AL54" t="str">
        <f>Wing!H55</f>
        <v/>
      </c>
      <c r="AM54">
        <f>Wing!I55</f>
        <v>0</v>
      </c>
      <c r="AN54">
        <f>Wing!J55</f>
        <v>0</v>
      </c>
    </row>
    <row r="55" spans="1:40" x14ac:dyDescent="0.25">
      <c r="A55" s="7" t="s">
        <v>2208</v>
      </c>
      <c r="B55" s="7"/>
      <c r="C55" s="7" t="s">
        <v>2212</v>
      </c>
      <c r="D55" s="7"/>
      <c r="E55" s="7"/>
      <c r="F55" s="7"/>
    </row>
    <row r="59" spans="1:40" x14ac:dyDescent="0.25">
      <c r="D59" t="s">
        <v>2209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13</vt:i4>
      </vt:variant>
      <vt:variant>
        <vt:lpstr>Named Ranges</vt:lpstr>
      </vt:variant>
      <vt:variant>
        <vt:i4>1</vt:i4>
      </vt:variant>
    </vt:vector>
  </HeadingPairs>
  <TitlesOfParts>
    <vt:vector size="14" baseType="lpstr">
      <vt:lpstr>Structures_Material</vt:lpstr>
      <vt:lpstr>External layout</vt:lpstr>
      <vt:lpstr>Airfoil_SD7062</vt:lpstr>
      <vt:lpstr>Wing</vt:lpstr>
      <vt:lpstr>Internal Layout</vt:lpstr>
      <vt:lpstr>Vertical</vt:lpstr>
      <vt:lpstr>Horizontal</vt:lpstr>
      <vt:lpstr>Mid_Fuselage</vt:lpstr>
      <vt:lpstr>CATIA</vt:lpstr>
      <vt:lpstr>9x9e</vt:lpstr>
      <vt:lpstr>7x5e</vt:lpstr>
      <vt:lpstr>Scorpion S11-2215-900</vt:lpstr>
      <vt:lpstr>Drag</vt:lpstr>
      <vt:lpstr>Airfoil_SD7062!sd7062_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jsantillan7@gmail.com</dc:creator>
  <cp:lastModifiedBy>David</cp:lastModifiedBy>
  <dcterms:created xsi:type="dcterms:W3CDTF">2015-01-23T04:01:18Z</dcterms:created>
  <dcterms:modified xsi:type="dcterms:W3CDTF">2015-02-24T03:15:26Z</dcterms:modified>
</cp:coreProperties>
</file>